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49" activeTab="0"/>
  </bookViews>
  <sheets>
    <sheet name="0-Introduction" sheetId="1" r:id="rId1"/>
    <sheet name="1-Cste Phys" sheetId="2" r:id="rId2"/>
    <sheet name="2-Angles" sheetId="3" r:id="rId3"/>
    <sheet name="3-Energie du photon" sheetId="4" r:id="rId4"/>
    <sheet name="4-magnitude" sheetId="5" r:id="rId5"/>
    <sheet name="5-Addition magnitudes" sheetId="6" r:id="rId6"/>
    <sheet name="6-Conversion magnitude" sheetId="7" r:id="rId7"/>
    <sheet name="7-UBVRI" sheetId="8" r:id="rId8"/>
    <sheet name="8-Soleil" sheetId="9" r:id="rId9"/>
    <sheet name="9-Classes spectrales" sheetId="10" r:id="rId10"/>
    <sheet name="10-Lum fond ciel" sheetId="11" r:id="rId11"/>
    <sheet name="11-Fond de ciel" sheetId="12" r:id="rId12"/>
    <sheet name="12-Hypothèses" sheetId="13" r:id="rId13"/>
    <sheet name="13-BilanPhotoniqueEtoile" sheetId="14" r:id="rId14"/>
    <sheet name="14-SpectreSignalEtoile" sheetId="15" r:id="rId15"/>
    <sheet name="15-BilanPhotoniqueAsteroide" sheetId="16" r:id="rId16"/>
    <sheet name="16-SpectreSignalAsteroide" sheetId="17" r:id="rId17"/>
    <sheet name="17-Depouillement" sheetId="18" r:id="rId18"/>
    <sheet name="Aperture" sheetId="19" r:id="rId19"/>
    <sheet name="Filtres" sheetId="20" r:id="rId20"/>
    <sheet name="Feuil3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<sst xmlns="http://schemas.openxmlformats.org/spreadsheetml/2006/main" count="644" uniqueCount="493">
  <si>
    <t xml:space="preserve">Radiometrie Astronomique - Estimation du S/B pour la préparation ou le depouillement d'une occultation </t>
  </si>
  <si>
    <t>V2.1</t>
  </si>
  <si>
    <t>Thierry Midavaine</t>
  </si>
  <si>
    <t>Occultation par Artemis</t>
  </si>
  <si>
    <t>Etapes</t>
  </si>
  <si>
    <t>Onglets</t>
  </si>
  <si>
    <t>Etape 0</t>
  </si>
  <si>
    <t>0-Mode d'emploi des étapes</t>
  </si>
  <si>
    <t>Etape 1</t>
  </si>
  <si>
    <t>1-Constantes Physiques</t>
  </si>
  <si>
    <t>Système International 20 mai 2019</t>
  </si>
  <si>
    <t>Etape 2</t>
  </si>
  <si>
    <t>2-Angles</t>
  </si>
  <si>
    <t>Différentes conversion entre les systemes d'unités angulaires et d'angles solides</t>
  </si>
  <si>
    <t>Etape 3</t>
  </si>
  <si>
    <t>3-Energie du photon et la candela</t>
  </si>
  <si>
    <t>La feuille permet de calculer en fonction de la longueur d'onde l'énergie du photon en J, l'efficacité photopique, l'intensité d'une source de 1 candela en W.sr-1 et en photon.s-1.sr-1</t>
  </si>
  <si>
    <t>Etape 4</t>
  </si>
  <si>
    <t>4-magnitude</t>
  </si>
  <si>
    <t>Ecart de magnitudes - rapport d'éclairement</t>
  </si>
  <si>
    <t>Etape 5</t>
  </si>
  <si>
    <t>5-Addition de magnitudes</t>
  </si>
  <si>
    <t>Donne la magnitude de la somme de deux objets de magnitude A et de magnitude B</t>
  </si>
  <si>
    <t>Etape 6</t>
  </si>
  <si>
    <t>6-Conversion magntude</t>
  </si>
  <si>
    <t>Conversion de la magnitude V en éclarement en lux, en éclairement en W.m-2.µm-1, en phton.s-1.m-2.µm-1</t>
  </si>
  <si>
    <t>Etape 7</t>
  </si>
  <si>
    <t>7-Bandes UBVRI et magnitude 0</t>
  </si>
  <si>
    <t>Etape 8</t>
  </si>
  <si>
    <t>8-Données sur le Soleil ou en relation avec le Soleil</t>
  </si>
  <si>
    <t>Etape 9</t>
  </si>
  <si>
    <t>9-Classes Spectrales</t>
  </si>
  <si>
    <t>Determiner la temperature de corps noir equivalent à l'étoile de la séquence principale</t>
  </si>
  <si>
    <t>ref Astrophysical Quantities et Modern Astrophysics</t>
  </si>
  <si>
    <t>Etape 10</t>
  </si>
  <si>
    <t>Soit avec la classe spectrale de l'etoile</t>
  </si>
  <si>
    <t>Etape 11</t>
  </si>
  <si>
    <t>Soit avec l'indice de couleur B-V par exemple</t>
  </si>
  <si>
    <t>Etape 12</t>
  </si>
  <si>
    <t>Choisir son site d'observation</t>
  </si>
  <si>
    <t>Etape 13</t>
  </si>
  <si>
    <t>Délivre des indications de la luminance du fond de ciel en ambiance crepusculaire et en présence de Lune</t>
  </si>
  <si>
    <t>Etape 14</t>
  </si>
  <si>
    <t>10-Luminance du fond de ciel</t>
  </si>
  <si>
    <t>Onglet non encore terminé pour estimer la Lumiance du fond de ciel en fonction de la hauteur du Soleil sous l'horizon pour les conditions crepusculaires et des conditions de Lune</t>
  </si>
  <si>
    <t>Etape 15</t>
  </si>
  <si>
    <t>11-Fond de Ciel</t>
  </si>
  <si>
    <t>Déterminer la magnitude du fond de ciel par arc seconde 2 de votre site, une mise à jour est en préparation avec la carte F Falchi 2016</t>
  </si>
  <si>
    <t>Etape 16</t>
  </si>
  <si>
    <t>Ou faire la mesure zenithale avec un SQM ou encore avec votre logiciel de photometrie sur votre fond de ciel</t>
  </si>
  <si>
    <t>Etape 17</t>
  </si>
  <si>
    <t>12-Hypothéses</t>
  </si>
  <si>
    <t>Renseigner les cases vertes avec les données d'entrées sur l'evenement et le moyen d'observation</t>
  </si>
  <si>
    <t>Etape 18</t>
  </si>
  <si>
    <t>Renseigner les données d'entrées sur son telescope et la camera eventuellement le filtre</t>
  </si>
  <si>
    <t>Etape 19</t>
  </si>
  <si>
    <t>La case en jaune du temps d'integration est à ajuster par itération en fonction du resultat</t>
  </si>
  <si>
    <t>Etape 20</t>
  </si>
  <si>
    <t>13-Bilan photonique étoile</t>
  </si>
  <si>
    <t>Cette feuille est calculée automatiquement avec les Hypothèses</t>
  </si>
  <si>
    <t>Etape 21</t>
  </si>
  <si>
    <t>La luminance de l'etoile comparée à son éclairement permet d'estimer le diametre angulaire apparent de l'étoile</t>
  </si>
  <si>
    <t>Etape 22</t>
  </si>
  <si>
    <t>Eventuellement la colonne J peut etre utilisée pour introduire  la transmission d'un filtre</t>
  </si>
  <si>
    <t>Etape 23</t>
  </si>
  <si>
    <t>On obtient le nombre de photo-ételectrons par sec, par m2, par m de longueur d'onde et son integrale</t>
  </si>
  <si>
    <t>Etape 24</t>
  </si>
  <si>
    <t>14-Spectre signal Etoile</t>
  </si>
  <si>
    <t>Cette courbe donne le spectre relatif du signal en photo-electrons provenant de l'etoile et detecté par le capteur</t>
  </si>
  <si>
    <t>Etape 25</t>
  </si>
  <si>
    <t>15-Bilan photonique sur l'astéroide</t>
  </si>
  <si>
    <t>Etape 26</t>
  </si>
  <si>
    <t>16-Spectre signal Astéroide</t>
  </si>
  <si>
    <t>Cette courbe donne le spectre relatif du signal en photo electron provenant de l'astéroide</t>
  </si>
  <si>
    <t>Etape 27</t>
  </si>
  <si>
    <t>17-Dépouillement</t>
  </si>
  <si>
    <t xml:space="preserve">Donne l'estimation du rapport signal sur bruit sur l'etoile, l'asteroide en spatial et pour l'occultation en temporel </t>
  </si>
  <si>
    <t>Etape 28</t>
  </si>
  <si>
    <t>Le fond de ciel est estimé par sa magnitude par arcsec2 et fait l'hypothese d'une luminance spectrale plate en ph/s/m2/arcsec2/µm ce qui est une bonne approximation par nuit astronomique sans Lune</t>
  </si>
  <si>
    <t>Etape 29</t>
  </si>
  <si>
    <t>SI le S/B est inférieur à 3 modifier la configuration optique ou augmenter votre temps d'integration sur l'onglet 12 (Etape19)</t>
  </si>
  <si>
    <t>Etape 30</t>
  </si>
  <si>
    <t>Si le S/B est supérieur à 3 c'est bon pour l'occultation, eventuellement réduisez le temps d'integration ou tentez une magnitude plus élevés</t>
  </si>
  <si>
    <t>Etape 31</t>
  </si>
  <si>
    <t>La figure de mérite de votre instrument est donné combinant son champs, sa magnitude limite atteinte pour le temps d'exposition utilisé</t>
  </si>
  <si>
    <t>Constantes Physiques</t>
  </si>
  <si>
    <t>unités</t>
  </si>
  <si>
    <t>incertitude relative</t>
  </si>
  <si>
    <t>Dvcs</t>
  </si>
  <si>
    <t>Hz</t>
  </si>
  <si>
    <t>Fréquence Hyperfine du Cesium 133</t>
  </si>
  <si>
    <t xml:space="preserve">c </t>
  </si>
  <si>
    <t>m.s-1</t>
  </si>
  <si>
    <t>vitesse de la lumière</t>
  </si>
  <si>
    <t>h</t>
  </si>
  <si>
    <t>J.s</t>
  </si>
  <si>
    <t>constante de Planck</t>
  </si>
  <si>
    <t>e</t>
  </si>
  <si>
    <t>C</t>
  </si>
  <si>
    <t>k</t>
  </si>
  <si>
    <t>J.K-1</t>
  </si>
  <si>
    <t>constante de Boltzmann</t>
  </si>
  <si>
    <t>Na</t>
  </si>
  <si>
    <t>mol-1</t>
  </si>
  <si>
    <t>Nombre d'Avogadro</t>
  </si>
  <si>
    <t>Kcd</t>
  </si>
  <si>
    <t>lm.W-1</t>
  </si>
  <si>
    <t>candela</t>
  </si>
  <si>
    <t>σ</t>
  </si>
  <si>
    <t>W.m-2K-4</t>
  </si>
  <si>
    <t>constante de Stefan</t>
  </si>
  <si>
    <t>pi</t>
  </si>
  <si>
    <t>as</t>
  </si>
  <si>
    <t>rd</t>
  </si>
  <si>
    <t>1 arc seconde</t>
  </si>
  <si>
    <t>aJ</t>
  </si>
  <si>
    <t>d</t>
  </si>
  <si>
    <t>année Julienne</t>
  </si>
  <si>
    <t>s</t>
  </si>
  <si>
    <t>au</t>
  </si>
  <si>
    <t>m</t>
  </si>
  <si>
    <t>L'Unité Astronomique</t>
  </si>
  <si>
    <t>phT</t>
  </si>
  <si>
    <t xml:space="preserve">m </t>
  </si>
  <si>
    <t>distance périhelie de la Terre</t>
  </si>
  <si>
    <t>ahT</t>
  </si>
  <si>
    <t>aphelie de la Terre</t>
  </si>
  <si>
    <t>al</t>
  </si>
  <si>
    <t>une année lumière</t>
  </si>
  <si>
    <t>pc</t>
  </si>
  <si>
    <t>ua</t>
  </si>
  <si>
    <t>un parsec</t>
  </si>
  <si>
    <t>G</t>
  </si>
  <si>
    <t>m3kg-1s-2</t>
  </si>
  <si>
    <t>constante de gravitation</t>
  </si>
  <si>
    <t>GMs</t>
  </si>
  <si>
    <t>m3s-2</t>
  </si>
  <si>
    <t>parametre de masse solaire</t>
  </si>
  <si>
    <t>Rs</t>
  </si>
  <si>
    <t>Rayon du Soleil</t>
  </si>
  <si>
    <t>aTL</t>
  </si>
  <si>
    <t>demi grand axe de l'orbite lunaire</t>
  </si>
  <si>
    <t>pgL</t>
  </si>
  <si>
    <t>périgée de la Lune</t>
  </si>
  <si>
    <t>agL</t>
  </si>
  <si>
    <t>apogée de la Lune</t>
  </si>
  <si>
    <t>V0</t>
  </si>
  <si>
    <t>lux</t>
  </si>
  <si>
    <t>Eclairement d'une etoile de magnitude V =0</t>
  </si>
  <si>
    <t>Angles</t>
  </si>
  <si>
    <t>Degrés</t>
  </si>
  <si>
    <t>Minutes d'arc</t>
  </si>
  <si>
    <t>Seconde d'arc</t>
  </si>
  <si>
    <t>radian</t>
  </si>
  <si>
    <t>mrd</t>
  </si>
  <si>
    <t>µrd</t>
  </si>
  <si>
    <t xml:space="preserve">Angle solide  </t>
  </si>
  <si>
    <t>Arc degrés 2</t>
  </si>
  <si>
    <t>Arc min 2</t>
  </si>
  <si>
    <t>Arc sec 2</t>
  </si>
  <si>
    <t>sr</t>
  </si>
  <si>
    <t>Sphere complete</t>
  </si>
  <si>
    <t>Hemisphere</t>
  </si>
  <si>
    <r>
      <rPr>
        <b/>
        <sz val="10"/>
        <color indexed="8"/>
        <rFont val="Arial"/>
        <family val="0"/>
      </rPr>
      <t>Angle solide</t>
    </r>
    <r>
      <rPr>
        <sz val="10"/>
        <color indexed="8"/>
        <rFont val="Arial"/>
        <family val="0"/>
      </rPr>
      <t xml:space="preserve"> formé par une optique de diametre D et de Focale F</t>
    </r>
  </si>
  <si>
    <t>Approximation petits angles</t>
  </si>
  <si>
    <t>Diametre</t>
  </si>
  <si>
    <t>D</t>
  </si>
  <si>
    <t>Focale</t>
  </si>
  <si>
    <t>F</t>
  </si>
  <si>
    <t>demi angle</t>
  </si>
  <si>
    <t>angle alpha</t>
  </si>
  <si>
    <t>Angle solide formé par une optique de diametre D et de Focale F</t>
  </si>
  <si>
    <t>Omega</t>
  </si>
  <si>
    <t>longueur d'onde</t>
  </si>
  <si>
    <t>lambda</t>
  </si>
  <si>
    <t>rayon de la figure d'airy</t>
  </si>
  <si>
    <t>Pas pixel</t>
  </si>
  <si>
    <t>p</t>
  </si>
  <si>
    <t>Longueur Plan Focal</t>
  </si>
  <si>
    <t>Largeur Plan Focal</t>
  </si>
  <si>
    <t>Etendue géométrique</t>
  </si>
  <si>
    <t>Lambda</t>
  </si>
  <si>
    <t>Energie du photon</t>
  </si>
  <si>
    <t>Œil efficacité</t>
  </si>
  <si>
    <t>1 candela</t>
  </si>
  <si>
    <t>J</t>
  </si>
  <si>
    <t>W.sr-1</t>
  </si>
  <si>
    <t>photon.s-1.sr-1</t>
  </si>
  <si>
    <t>nbre de candela</t>
  </si>
  <si>
    <t>Delta de magnitude</t>
  </si>
  <si>
    <t>Rapport d'éclairements</t>
  </si>
  <si>
    <t>Additionner des magnitudes A + B</t>
  </si>
  <si>
    <t>Etoile A</t>
  </si>
  <si>
    <t>Etoile B</t>
  </si>
  <si>
    <t>mag</t>
  </si>
  <si>
    <t>EtoiA+EtoiB</t>
  </si>
  <si>
    <t>Conversions</t>
  </si>
  <si>
    <t>magnitude V étoile A0</t>
  </si>
  <si>
    <t>W.m-2-µm-1</t>
  </si>
  <si>
    <t>ph.m-2.s-1.µm-1</t>
  </si>
  <si>
    <t>λmin</t>
  </si>
  <si>
    <t>λmax</t>
  </si>
  <si>
    <t>λ0</t>
  </si>
  <si>
    <t>Δλ</t>
  </si>
  <si>
    <t>e0</t>
  </si>
  <si>
    <t>Wm-2m-1</t>
  </si>
  <si>
    <t>U</t>
  </si>
  <si>
    <t>B</t>
  </si>
  <si>
    <t>V</t>
  </si>
  <si>
    <t>R</t>
  </si>
  <si>
    <t>I</t>
  </si>
  <si>
    <t>H</t>
  </si>
  <si>
    <t>K</t>
  </si>
  <si>
    <t>L</t>
  </si>
  <si>
    <t>M</t>
  </si>
  <si>
    <t>N</t>
  </si>
  <si>
    <t>Q</t>
  </si>
  <si>
    <t>Astrophysical Quantities</t>
  </si>
  <si>
    <t>Etoile A0</t>
  </si>
  <si>
    <t>u</t>
  </si>
  <si>
    <t>u'</t>
  </si>
  <si>
    <t>u*</t>
  </si>
  <si>
    <t>b</t>
  </si>
  <si>
    <t>v</t>
  </si>
  <si>
    <t>v'</t>
  </si>
  <si>
    <t>g</t>
  </si>
  <si>
    <t>g'</t>
  </si>
  <si>
    <t>r</t>
  </si>
  <si>
    <t>r'</t>
  </si>
  <si>
    <t>R'</t>
  </si>
  <si>
    <t>Rc</t>
  </si>
  <si>
    <t>Re</t>
  </si>
  <si>
    <t>Rj</t>
  </si>
  <si>
    <t>i</t>
  </si>
  <si>
    <t>i'</t>
  </si>
  <si>
    <t>Ic</t>
  </si>
  <si>
    <t>Ie</t>
  </si>
  <si>
    <t>Ij</t>
  </si>
  <si>
    <t>Z</t>
  </si>
  <si>
    <t>z</t>
  </si>
  <si>
    <t>z'</t>
  </si>
  <si>
    <t>Y</t>
  </si>
  <si>
    <t>y</t>
  </si>
  <si>
    <t>J'</t>
  </si>
  <si>
    <t>Js</t>
  </si>
  <si>
    <t>K'</t>
  </si>
  <si>
    <t>Ks</t>
  </si>
  <si>
    <t>Klong</t>
  </si>
  <si>
    <t>K8</t>
  </si>
  <si>
    <t>nbK</t>
  </si>
  <si>
    <t>K Continuum</t>
  </si>
  <si>
    <t>L'</t>
  </si>
  <si>
    <t>nbL'</t>
  </si>
  <si>
    <t>M'</t>
  </si>
  <si>
    <t>nbM</t>
  </si>
  <si>
    <t>Q'</t>
  </si>
  <si>
    <t>Données</t>
  </si>
  <si>
    <t>Température du Soleil</t>
  </si>
  <si>
    <t>Magnitude du Soleil</t>
  </si>
  <si>
    <t>Magnitude d'une etoile V0</t>
  </si>
  <si>
    <t>Rapport d'éclairement</t>
  </si>
  <si>
    <t>Rapport de distance</t>
  </si>
  <si>
    <t>Distance d'une etoile 0</t>
  </si>
  <si>
    <t>Distance etoile de mag 6</t>
  </si>
  <si>
    <t>alpha</t>
  </si>
  <si>
    <t>rayon du Soleil</t>
  </si>
  <si>
    <t xml:space="preserve">R  </t>
  </si>
  <si>
    <t>Temperature Etoiles séquence principale de classe</t>
  </si>
  <si>
    <t>W (Wolf-Rayet)</t>
  </si>
  <si>
    <t>O</t>
  </si>
  <si>
    <t>A</t>
  </si>
  <si>
    <t>R et N</t>
  </si>
  <si>
    <t>S</t>
  </si>
  <si>
    <t>Séquence principale</t>
  </si>
  <si>
    <t>U-B</t>
  </si>
  <si>
    <t>B-V</t>
  </si>
  <si>
    <t>V-R</t>
  </si>
  <si>
    <t>V-I</t>
  </si>
  <si>
    <t>V-J</t>
  </si>
  <si>
    <t>O0</t>
  </si>
  <si>
    <t>O5</t>
  </si>
  <si>
    <t>O6</t>
  </si>
  <si>
    <t>O7</t>
  </si>
  <si>
    <t>O8</t>
  </si>
  <si>
    <t>O9</t>
  </si>
  <si>
    <t>B0</t>
  </si>
  <si>
    <t>B1</t>
  </si>
  <si>
    <t>B2</t>
  </si>
  <si>
    <t>B3</t>
  </si>
  <si>
    <t>B5</t>
  </si>
  <si>
    <t>B6</t>
  </si>
  <si>
    <t>B7</t>
  </si>
  <si>
    <t>B8</t>
  </si>
  <si>
    <t>B9</t>
  </si>
  <si>
    <t>A0</t>
  </si>
  <si>
    <t>A2</t>
  </si>
  <si>
    <t>A5</t>
  </si>
  <si>
    <t>F0</t>
  </si>
  <si>
    <t>F2</t>
  </si>
  <si>
    <t>F5</t>
  </si>
  <si>
    <t>F8</t>
  </si>
  <si>
    <t>G0</t>
  </si>
  <si>
    <t>G2</t>
  </si>
  <si>
    <t>G5</t>
  </si>
  <si>
    <t>G8</t>
  </si>
  <si>
    <t>K0</t>
  </si>
  <si>
    <t>K5</t>
  </si>
  <si>
    <t>M0</t>
  </si>
  <si>
    <t>M5</t>
  </si>
  <si>
    <t>Luminances</t>
  </si>
  <si>
    <t>Bande spectrale</t>
  </si>
  <si>
    <t>Lambda min</t>
  </si>
  <si>
    <t>Lambda max</t>
  </si>
  <si>
    <t>cd/m2</t>
  </si>
  <si>
    <t>W/m2/sr/100nm</t>
  </si>
  <si>
    <t>Ph/s/m2/sr/100nm</t>
  </si>
  <si>
    <t>Coucher du Soleil 0°</t>
  </si>
  <si>
    <t>Fin crepuscule Civil -6°</t>
  </si>
  <si>
    <t>Fin crepuscule nautique -12°</t>
  </si>
  <si>
    <t>Fin Crepuscule astro -18°</t>
  </si>
  <si>
    <t>Nuit de niveau 4 max</t>
  </si>
  <si>
    <t>Nuit de niveau 4</t>
  </si>
  <si>
    <t>Nuit de niveau 4 min</t>
  </si>
  <si>
    <t>Etoile de mag 0 1 arcsec</t>
  </si>
  <si>
    <t>ph.cm-2.s-1.sr-1</t>
  </si>
  <si>
    <t>µcd.m-2</t>
  </si>
  <si>
    <t>V mag.as-2</t>
  </si>
  <si>
    <t>Contribution 
à la luminance 
du fond de ciel de la pollution lumineuse</t>
  </si>
  <si>
    <t>Gris</t>
  </si>
  <si>
    <t>Bleu</t>
  </si>
  <si>
    <t>Vert</t>
  </si>
  <si>
    <t>Jaune</t>
  </si>
  <si>
    <t>Orange</t>
  </si>
  <si>
    <t>Rouge</t>
  </si>
  <si>
    <t>Blanc</t>
  </si>
  <si>
    <t>Luminance naturelle du fond de ciel</t>
  </si>
  <si>
    <t>Luminance totale 
du fond de ciel (naturelle + pollution)</t>
  </si>
  <si>
    <t>Objets</t>
  </si>
  <si>
    <t>Unités</t>
  </si>
  <si>
    <t>Données à introduire</t>
  </si>
  <si>
    <t>Données calculées par la feuille excel</t>
  </si>
  <si>
    <t>Etoile</t>
  </si>
  <si>
    <t>Temperature</t>
  </si>
  <si>
    <t>Utiliser l'onglet 9-Classes spectrales</t>
  </si>
  <si>
    <t>magnitude V</t>
  </si>
  <si>
    <t>Utiliser la fiche de l'evenement</t>
  </si>
  <si>
    <t xml:space="preserve">Eclairement en lux </t>
  </si>
  <si>
    <t>Le Soleil</t>
  </si>
  <si>
    <t>Temperature Soleil</t>
  </si>
  <si>
    <t>Diametre du Soleil</t>
  </si>
  <si>
    <t>Unité Astronomique au</t>
  </si>
  <si>
    <t>Astéroide</t>
  </si>
  <si>
    <t>rayon de l'orbite</t>
  </si>
  <si>
    <t>préciser le rayon de l'orbite ou demi grand axe de l'objet</t>
  </si>
  <si>
    <t>Angle solide apparentdu Soleil</t>
  </si>
  <si>
    <t>diamètre de l'astéroide</t>
  </si>
  <si>
    <t>Surface de l'astéroide</t>
  </si>
  <si>
    <t>m2</t>
  </si>
  <si>
    <t>albedo</t>
  </si>
  <si>
    <t>Demarrer avec 0.10 puis ajuster avec la valeur E97 de l'onglet Bilan Photonique Asteroide</t>
  </si>
  <si>
    <t>Distance de l'asteroide à la Terre</t>
  </si>
  <si>
    <t>Angle de phase</t>
  </si>
  <si>
    <t>Provision pour le futur</t>
  </si>
  <si>
    <t>magnitude V modélisée</t>
  </si>
  <si>
    <t>Calcul de la feuille Bilan Photonique de l'Astéroide</t>
  </si>
  <si>
    <t>Utiliser la fiche de l'evenement, ou la valeur de la case au-dessus</t>
  </si>
  <si>
    <t>Fond de ciel</t>
  </si>
  <si>
    <t>Magnitude totale du fond</t>
  </si>
  <si>
    <t>as-2</t>
  </si>
  <si>
    <t>Utiliser l'onglet 11-Fond de ciel ou faire une mesure au SQM</t>
  </si>
  <si>
    <t>la modelisation spectrale du fond de ciel n'est pas encore générée</t>
  </si>
  <si>
    <t>Site d'observation</t>
  </si>
  <si>
    <t>Altitude</t>
  </si>
  <si>
    <t>Provision pour le futur et ajuster la masse d'air</t>
  </si>
  <si>
    <t>Conditions d'observation</t>
  </si>
  <si>
    <t>Hauteur visée</t>
  </si>
  <si>
    <t>°</t>
  </si>
  <si>
    <t>Utiliser la fiche de l'évenement ou utiliser un logiciel de simulation de ciel</t>
  </si>
  <si>
    <t>Pression atmosphèrique</t>
  </si>
  <si>
    <t>Champ à laisser vide (provision pour le futur)</t>
  </si>
  <si>
    <t>Seeing</t>
  </si>
  <si>
    <t>arc sec</t>
  </si>
  <si>
    <t>Si vous connaissez le site ou faire une estimation au telescope ou avec votre camera du FWHM du seeing</t>
  </si>
  <si>
    <t>Optique</t>
  </si>
  <si>
    <t>Diamètre</t>
  </si>
  <si>
    <t>Prendre la doc de votre telescope</t>
  </si>
  <si>
    <t xml:space="preserve">Surface Pupille  </t>
  </si>
  <si>
    <t>Obstruction centrale</t>
  </si>
  <si>
    <t>Surface pupille efficace</t>
  </si>
  <si>
    <t>transmission optique par miroir ou dioptre</t>
  </si>
  <si>
    <t>Nombre de miroirs ou dioptres</t>
  </si>
  <si>
    <t>transmission optique de l'instrument</t>
  </si>
  <si>
    <t>transmission optique globale instrument</t>
  </si>
  <si>
    <t>Tient compte de l'obturation centrale et des types de traitements sur les lentilles ou miroirs</t>
  </si>
  <si>
    <t>Capteur</t>
  </si>
  <si>
    <t>pas pixel</t>
  </si>
  <si>
    <t>IMX455</t>
  </si>
  <si>
    <t>IFOV en rd</t>
  </si>
  <si>
    <t>IFOV en arcsec</t>
  </si>
  <si>
    <t>angle solide IFOV en arcsec2</t>
  </si>
  <si>
    <t>Dimension horizontale matrice</t>
  </si>
  <si>
    <t>Dimension verticale matrice</t>
  </si>
  <si>
    <t>Rendement Quantique max</t>
  </si>
  <si>
    <t>tenir compte du fill facteur taux de remplissage du pixel</t>
  </si>
  <si>
    <t>Lambda pic QE</t>
  </si>
  <si>
    <t>Lambda min50%</t>
  </si>
  <si>
    <t>Lambda max50%</t>
  </si>
  <si>
    <t>Bruit de lecture</t>
  </si>
  <si>
    <t>electrons</t>
  </si>
  <si>
    <t>Prendre la doc de votre camera</t>
  </si>
  <si>
    <t>Temps d'integration</t>
  </si>
  <si>
    <t>Données à ajuster en fonction du resultat du S/B de l'onglet dépouillement si vous pouver le commander sur votre camera</t>
  </si>
  <si>
    <t>Densite de courant d'obsc</t>
  </si>
  <si>
    <t>Constantes</t>
  </si>
  <si>
    <t>cf onglet 1</t>
  </si>
  <si>
    <t>Etoile de Magnitude 0</t>
  </si>
  <si>
    <t>L CN</t>
  </si>
  <si>
    <t>LCN</t>
  </si>
  <si>
    <t>L photopic</t>
  </si>
  <si>
    <t>Ecl spectrale</t>
  </si>
  <si>
    <t>Trans Atmos Zenithale</t>
  </si>
  <si>
    <t>Trans atm visée</t>
  </si>
  <si>
    <t>Trans Optique</t>
  </si>
  <si>
    <t>Trans Filtre</t>
  </si>
  <si>
    <t>QE du Silicium</t>
  </si>
  <si>
    <t>photel.s-1.m-2.m-1</t>
  </si>
  <si>
    <t>ph.s-1.m-2.sr-1.m-1</t>
  </si>
  <si>
    <t>W.m-2.sr-1.m-1</t>
  </si>
  <si>
    <t>Lm.m-2.sr-1.m-1</t>
  </si>
  <si>
    <t>ph.s-1.m-2</t>
  </si>
  <si>
    <t>Lm.m-2.sr-1</t>
  </si>
  <si>
    <t>60E4cd/m2=</t>
  </si>
  <si>
    <t>W.m-2/sr-1</t>
  </si>
  <si>
    <t>el.s-1.m-2</t>
  </si>
  <si>
    <t>Angle Solide de l'étoile</t>
  </si>
  <si>
    <t>Diametre angulaire de l'etoile</t>
  </si>
  <si>
    <t>Eclai Ast Terre</t>
  </si>
  <si>
    <t>Transmission Optique</t>
  </si>
  <si>
    <t>TransFiltre</t>
  </si>
  <si>
    <t>Elec.s-1.m-2</t>
  </si>
  <si>
    <t>Angle Solide Soleil depuis l'asteroide</t>
  </si>
  <si>
    <t>Surface Asteroide</t>
  </si>
  <si>
    <t>Albedo</t>
  </si>
  <si>
    <t>Carré distance Terre Asteroide</t>
  </si>
  <si>
    <t>Eclairement apparent asteroide</t>
  </si>
  <si>
    <t>magnitude estimée Asteroide</t>
  </si>
  <si>
    <t>magnitude asteroide</t>
  </si>
  <si>
    <t>Estimation Albedo</t>
  </si>
  <si>
    <t>Injecter cette valeur dans les hypothese</t>
  </si>
  <si>
    <t>Résultats Géometriques</t>
  </si>
  <si>
    <t>Diametre tache photometrie d'ouverture</t>
  </si>
  <si>
    <t>Diametre nbre de pixels</t>
  </si>
  <si>
    <t>Nombre de pixels source ouverture carrré</t>
  </si>
  <si>
    <t>Nombre de pixels fond de ref</t>
  </si>
  <si>
    <t>Résultats Photometriques</t>
  </si>
  <si>
    <t>magnitudes</t>
  </si>
  <si>
    <t>Eclairement Photopique</t>
  </si>
  <si>
    <t>diametre apparent</t>
  </si>
  <si>
    <t>Signal</t>
  </si>
  <si>
    <t>Bruit photo-elec</t>
  </si>
  <si>
    <t>Bruit elec</t>
  </si>
  <si>
    <t>S/B photonique</t>
  </si>
  <si>
    <t>S/B total</t>
  </si>
  <si>
    <t>electrons / trame</t>
  </si>
  <si>
    <t>Eclairement de l'étoile</t>
  </si>
  <si>
    <t>Rapport signal sur bruit spatial sur l'étoile sans tenir compte du fond de ciel</t>
  </si>
  <si>
    <t>Eclairement de l'astéroide</t>
  </si>
  <si>
    <t>Eclairement du fond de ciel sur un pixel</t>
  </si>
  <si>
    <t>magnitude/as2</t>
  </si>
  <si>
    <t>Le bruit de fond de ciel doit etre trés supérieur au bruit electronique du pixel</t>
  </si>
  <si>
    <t>Eclairement du fond de ciel sur le signal</t>
  </si>
  <si>
    <t>Eclairement fond de ciel de ref</t>
  </si>
  <si>
    <t>Rapport signal sur bruit spatial étoile</t>
  </si>
  <si>
    <t>Rapport signal sur bruit spatial sur l'étoile</t>
  </si>
  <si>
    <t>Rapport signal sur bruit spatial astéroide</t>
  </si>
  <si>
    <t>Rapport signal sur bruit spatial sur l'astéroide</t>
  </si>
  <si>
    <t>Eclairement total Ast + Etoile +FdCiel</t>
  </si>
  <si>
    <t>Eclairement total - fond de ciel</t>
  </si>
  <si>
    <t>Différence d'eclairement étoile occultée</t>
  </si>
  <si>
    <t>Si le S/B est trop faible augmenter le temps d'exposition</t>
  </si>
  <si>
    <t>Facteur de mérite</t>
  </si>
  <si>
    <t>Champ de vue Horizontal</t>
  </si>
  <si>
    <t>Champ de vue Vertical</t>
  </si>
  <si>
    <t>Champ de vue total en degrés carrés</t>
  </si>
  <si>
    <t>°²</t>
  </si>
  <si>
    <t>Magnitude limite</t>
  </si>
  <si>
    <t>Temps d'exposition</t>
  </si>
  <si>
    <t>mn</t>
  </si>
  <si>
    <t>FOM (Figure de mérite de l'instrument)</t>
  </si>
  <si>
    <t>Aperture Photometry Mask</t>
  </si>
  <si>
    <t>Johnson</t>
  </si>
  <si>
    <t>Cousins</t>
  </si>
  <si>
    <t>SLOAN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</si>
</sst>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000000000E+00"/>
    <numFmt numFmtId="169" formatCode="0.000000000000000E+00"/>
    <numFmt numFmtId="170" formatCode="0.00000E+00"/>
    <numFmt numFmtId="171" formatCode="0.0E+00"/>
  </numFmts>
  <fonts count="39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8"/>
      <name val="Arial"/>
      <family val="0"/>
    </font>
    <font>
      <sz val="18"/>
      <color indexed="54"/>
      <name val="Calibri Light"/>
      <family val="2"/>
    </font>
    <font>
      <sz val="7.75"/>
      <color indexed="8"/>
      <name val="Arial"/>
      <family val="0"/>
    </font>
    <font>
      <b/>
      <sz val="17.75"/>
      <color indexed="8"/>
      <name val="Calibri"/>
      <family val="0"/>
    </font>
    <font>
      <sz val="9.2"/>
      <color indexed="8"/>
      <name val="Calibri"/>
      <family val="0"/>
    </font>
    <font>
      <sz val="9.25"/>
      <color indexed="8"/>
      <name val="Arial"/>
      <family val="0"/>
    </font>
    <font>
      <sz val="7.35"/>
      <color indexed="8"/>
      <name val="Arial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11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20" borderId="1" applyNumberFormat="0" applyAlignment="0" applyProtection="0"/>
    <xf numFmtId="0" fontId="7" fillId="21" borderId="2" applyNumberFormat="0" applyAlignment="0" applyProtection="0"/>
    <xf numFmtId="0" fontId="30" fillId="0" borderId="3" applyNumberFormat="0" applyFill="0" applyAlignment="0" applyProtection="0"/>
    <xf numFmtId="0" fontId="20" fillId="22" borderId="4" applyNumberFormat="0" applyAlignment="0" applyProtection="0"/>
    <xf numFmtId="0" fontId="0" fillId="23" borderId="5" applyNumberFormat="0" applyFont="0" applyAlignment="0" applyProtection="0"/>
    <xf numFmtId="0" fontId="31" fillId="24" borderId="1" applyNumberFormat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7" borderId="2" applyNumberFormat="0" applyAlignment="0" applyProtection="0"/>
    <xf numFmtId="0" fontId="32" fillId="25" borderId="0" applyNumberFormat="0" applyBorder="0" applyAlignment="0" applyProtection="0"/>
    <xf numFmtId="0" fontId="8" fillId="0" borderId="6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7" applyNumberFormat="0" applyFont="0" applyAlignment="0" applyProtection="0"/>
    <xf numFmtId="0" fontId="13" fillId="21" borderId="8" applyNumberForma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38" fillId="30" borderId="14" applyNumberFormat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1" borderId="15" xfId="0" applyFont="1" applyFill="1" applyBorder="1" applyAlignment="1">
      <alignment/>
    </xf>
    <xf numFmtId="1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0" fontId="0" fillId="32" borderId="0" xfId="0" applyFont="1" applyFill="1" applyAlignment="1">
      <alignment/>
    </xf>
    <xf numFmtId="166" fontId="0" fillId="0" borderId="17" xfId="0" applyNumberFormat="1" applyFont="1" applyBorder="1" applyAlignment="1">
      <alignment/>
    </xf>
    <xf numFmtId="0" fontId="0" fillId="10" borderId="0" xfId="0" applyFont="1" applyFill="1" applyAlignment="1">
      <alignment/>
    </xf>
    <xf numFmtId="166" fontId="2" fillId="0" borderId="17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0" borderId="18" xfId="0" applyFont="1" applyBorder="1" applyAlignment="1">
      <alignment/>
    </xf>
    <xf numFmtId="11" fontId="0" fillId="0" borderId="18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0" fontId="0" fillId="34" borderId="0" xfId="0" applyFont="1" applyFill="1" applyAlignment="1">
      <alignment/>
    </xf>
    <xf numFmtId="11" fontId="0" fillId="34" borderId="0" xfId="0" applyNumberFormat="1" applyFont="1" applyFill="1" applyAlignment="1">
      <alignment/>
    </xf>
    <xf numFmtId="11" fontId="0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6" fontId="0" fillId="33" borderId="0" xfId="0" applyNumberFormat="1" applyFont="1" applyFill="1" applyAlignment="1">
      <alignment/>
    </xf>
    <xf numFmtId="167" fontId="0" fillId="33" borderId="0" xfId="0" applyNumberFormat="1" applyFont="1" applyFill="1" applyAlignment="1">
      <alignment/>
    </xf>
    <xf numFmtId="2" fontId="0" fillId="19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11" fontId="0" fillId="19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2" fontId="0" fillId="18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21" fillId="0" borderId="0" xfId="0" applyFont="1" applyAlignment="1">
      <alignment/>
    </xf>
    <xf numFmtId="11" fontId="2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11" fontId="0" fillId="37" borderId="0" xfId="0" applyNumberFormat="1" applyFont="1" applyFill="1" applyAlignment="1">
      <alignment/>
    </xf>
    <xf numFmtId="166" fontId="0" fillId="37" borderId="0" xfId="0" applyNumberFormat="1" applyFont="1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ad" xfId="40"/>
    <cellStyle name="Calcul" xfId="41"/>
    <cellStyle name="Calculation" xfId="42"/>
    <cellStyle name="Cellule liée" xfId="43"/>
    <cellStyle name="Check Cell" xfId="44"/>
    <cellStyle name="Commentaire" xfId="45"/>
    <cellStyle name="Entrée" xfId="46"/>
    <cellStyle name="Explanatory Text" xfId="47"/>
    <cellStyle name="Good" xfId="48"/>
    <cellStyle name="Input" xfId="49"/>
    <cellStyle name="Insatisfaisan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eutre" xfId="57"/>
    <cellStyle name="Note" xfId="58"/>
    <cellStyle name="Output" xfId="59"/>
    <cellStyle name="Percent" xfId="60"/>
    <cellStyle name="Satisfaisant" xfId="61"/>
    <cellStyle name="Sortie" xfId="62"/>
    <cellStyle name="Texte explicatif" xfId="63"/>
    <cellStyle name="Title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worksheet" Target="worksheets/sheet15.xml" /><Relationship Id="rId17" Type="http://schemas.openxmlformats.org/officeDocument/2006/relationships/chartsheet" Target="chartsheets/sheet2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QE du Silicium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8175"/>
          <c:w val="0.966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'13-BilanPhotoniqueEtoile'!$K$1</c:f>
              <c:strCache>
                <c:ptCount val="1"/>
                <c:pt idx="0">
                  <c:v>QE du Silicium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'13-BilanPhotoniqueEtoile'!$K$2:$K$88</c:f>
              <c:numCache/>
            </c:numRef>
          </c:val>
          <c:smooth val="0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647"/>
        <c:crosses val="autoZero"/>
        <c:auto val="1"/>
        <c:lblOffset val="100"/>
        <c:tickLblSkip val="8"/>
        <c:noMultiLvlLbl val="0"/>
      </c:catAx>
      <c:valAx>
        <c:axId val="21086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07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Série11</a:t>
            </a:r>
          </a:p>
        </c:rich>
      </c:tx>
      <c:layout>
        <c:manualLayout>
          <c:xMode val="factor"/>
          <c:yMode val="factor"/>
          <c:x val="0.007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"/>
          <c:w val="0.97925"/>
          <c:h val="0.86"/>
        </c:manualLayout>
      </c:layout>
      <c:scatterChart>
        <c:scatterStyle val="smoothMarker"/>
        <c:varyColors val="0"/>
        <c:ser>
          <c:idx val="10"/>
          <c:order val="0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'13-BilanPhotoniqueEtoile'!$A$3:$A$86</c:f>
              <c:numCache>
                <c:ptCount val="84"/>
                <c:pt idx="0">
                  <c:v>2.7E-07</c:v>
                </c:pt>
                <c:pt idx="1">
                  <c:v>2.8E-07</c:v>
                </c:pt>
                <c:pt idx="2">
                  <c:v>2.9E-07</c:v>
                </c:pt>
                <c:pt idx="3">
                  <c:v>3E-07</c:v>
                </c:pt>
                <c:pt idx="4">
                  <c:v>3.1E-07</c:v>
                </c:pt>
                <c:pt idx="5">
                  <c:v>3.2E-07</c:v>
                </c:pt>
                <c:pt idx="6">
                  <c:v>3.3E-07</c:v>
                </c:pt>
                <c:pt idx="7">
                  <c:v>3.4E-07</c:v>
                </c:pt>
                <c:pt idx="8">
                  <c:v>3.5E-07</c:v>
                </c:pt>
                <c:pt idx="9">
                  <c:v>3.6E-07</c:v>
                </c:pt>
                <c:pt idx="10">
                  <c:v>3.7E-07</c:v>
                </c:pt>
                <c:pt idx="11">
                  <c:v>3.8E-07</c:v>
                </c:pt>
                <c:pt idx="12">
                  <c:v>3.9E-07</c:v>
                </c:pt>
                <c:pt idx="13">
                  <c:v>4E-07</c:v>
                </c:pt>
                <c:pt idx="14">
                  <c:v>4.1E-07</c:v>
                </c:pt>
                <c:pt idx="15">
                  <c:v>4.2E-07</c:v>
                </c:pt>
                <c:pt idx="16">
                  <c:v>4.3E-07</c:v>
                </c:pt>
                <c:pt idx="17">
                  <c:v>4.4E-07</c:v>
                </c:pt>
                <c:pt idx="18">
                  <c:v>4.5E-07</c:v>
                </c:pt>
                <c:pt idx="19">
                  <c:v>4.6E-07</c:v>
                </c:pt>
                <c:pt idx="20">
                  <c:v>4.7E-07</c:v>
                </c:pt>
                <c:pt idx="21">
                  <c:v>4.8E-07</c:v>
                </c:pt>
                <c:pt idx="22">
                  <c:v>4.9E-07</c:v>
                </c:pt>
                <c:pt idx="23">
                  <c:v>5E-07</c:v>
                </c:pt>
                <c:pt idx="24">
                  <c:v>5.1E-07</c:v>
                </c:pt>
                <c:pt idx="25">
                  <c:v>5.2E-07</c:v>
                </c:pt>
                <c:pt idx="26">
                  <c:v>5.3E-07</c:v>
                </c:pt>
                <c:pt idx="27">
                  <c:v>5.4E-07</c:v>
                </c:pt>
                <c:pt idx="28">
                  <c:v>5.5E-07</c:v>
                </c:pt>
                <c:pt idx="29">
                  <c:v>5.6E-07</c:v>
                </c:pt>
                <c:pt idx="30">
                  <c:v>5.7E-07</c:v>
                </c:pt>
                <c:pt idx="31">
                  <c:v>5.8E-07</c:v>
                </c:pt>
                <c:pt idx="32">
                  <c:v>5.9E-07</c:v>
                </c:pt>
                <c:pt idx="33">
                  <c:v>6E-07</c:v>
                </c:pt>
                <c:pt idx="34">
                  <c:v>6.1E-07</c:v>
                </c:pt>
                <c:pt idx="35">
                  <c:v>6.2E-07</c:v>
                </c:pt>
                <c:pt idx="36">
                  <c:v>6.3E-07</c:v>
                </c:pt>
                <c:pt idx="37">
                  <c:v>6.4E-07</c:v>
                </c:pt>
                <c:pt idx="38">
                  <c:v>6.5E-07</c:v>
                </c:pt>
                <c:pt idx="39">
                  <c:v>6.6E-07</c:v>
                </c:pt>
                <c:pt idx="40">
                  <c:v>6.7E-07</c:v>
                </c:pt>
                <c:pt idx="41">
                  <c:v>6.8E-07</c:v>
                </c:pt>
                <c:pt idx="42">
                  <c:v>6.9E-07</c:v>
                </c:pt>
                <c:pt idx="43">
                  <c:v>7E-07</c:v>
                </c:pt>
                <c:pt idx="44">
                  <c:v>7.1E-07</c:v>
                </c:pt>
                <c:pt idx="45">
                  <c:v>7.2E-07</c:v>
                </c:pt>
                <c:pt idx="46">
                  <c:v>7.3E-07</c:v>
                </c:pt>
                <c:pt idx="47">
                  <c:v>7.4E-07</c:v>
                </c:pt>
                <c:pt idx="48">
                  <c:v>7.5E-07</c:v>
                </c:pt>
                <c:pt idx="49">
                  <c:v>7.6E-07</c:v>
                </c:pt>
                <c:pt idx="50">
                  <c:v>7.70000000000001E-07</c:v>
                </c:pt>
                <c:pt idx="51">
                  <c:v>7.80000000000001E-07</c:v>
                </c:pt>
                <c:pt idx="52">
                  <c:v>7.90000000000001E-07</c:v>
                </c:pt>
                <c:pt idx="53">
                  <c:v>8.00000000000001E-07</c:v>
                </c:pt>
                <c:pt idx="54">
                  <c:v>8.10000000000001E-07</c:v>
                </c:pt>
                <c:pt idx="55">
                  <c:v>8.20000000000001E-07</c:v>
                </c:pt>
                <c:pt idx="56">
                  <c:v>8.30000000000001E-07</c:v>
                </c:pt>
                <c:pt idx="57">
                  <c:v>8.40000000000001E-07</c:v>
                </c:pt>
                <c:pt idx="58">
                  <c:v>8.50000000000001E-07</c:v>
                </c:pt>
                <c:pt idx="59">
                  <c:v>8.60000000000001E-07</c:v>
                </c:pt>
                <c:pt idx="60">
                  <c:v>8.70000000000001E-07</c:v>
                </c:pt>
                <c:pt idx="61">
                  <c:v>8.80000000000001E-07</c:v>
                </c:pt>
                <c:pt idx="62">
                  <c:v>8.90000000000001E-07</c:v>
                </c:pt>
                <c:pt idx="63">
                  <c:v>9.00000000000001E-07</c:v>
                </c:pt>
                <c:pt idx="64">
                  <c:v>9.10000000000001E-07</c:v>
                </c:pt>
                <c:pt idx="65">
                  <c:v>9.20000000000001E-07</c:v>
                </c:pt>
                <c:pt idx="66">
                  <c:v>9.30000000000001E-07</c:v>
                </c:pt>
                <c:pt idx="67">
                  <c:v>9.40000000000001E-07</c:v>
                </c:pt>
                <c:pt idx="68">
                  <c:v>9.50000000000001E-07</c:v>
                </c:pt>
                <c:pt idx="69">
                  <c:v>9.60000000000001E-07</c:v>
                </c:pt>
                <c:pt idx="70">
                  <c:v>9.70000000000001E-07</c:v>
                </c:pt>
                <c:pt idx="71">
                  <c:v>9.80000000000001E-07</c:v>
                </c:pt>
                <c:pt idx="72">
                  <c:v>9.90000000000001E-07</c:v>
                </c:pt>
                <c:pt idx="73">
                  <c:v>1E-06</c:v>
                </c:pt>
                <c:pt idx="74">
                  <c:v>1.01E-06</c:v>
                </c:pt>
                <c:pt idx="75">
                  <c:v>1.02E-06</c:v>
                </c:pt>
                <c:pt idx="76">
                  <c:v>1.03E-06</c:v>
                </c:pt>
                <c:pt idx="77">
                  <c:v>1.04E-06</c:v>
                </c:pt>
                <c:pt idx="78">
                  <c:v>1.05E-06</c:v>
                </c:pt>
                <c:pt idx="79">
                  <c:v>1.06E-06</c:v>
                </c:pt>
                <c:pt idx="80">
                  <c:v>1.07E-06</c:v>
                </c:pt>
                <c:pt idx="81">
                  <c:v>1.08E-06</c:v>
                </c:pt>
                <c:pt idx="82">
                  <c:v>1.09E-06</c:v>
                </c:pt>
                <c:pt idx="83">
                  <c:v>1.1E-06</c:v>
                </c:pt>
              </c:numCache>
            </c:numRef>
          </c:xVal>
          <c:yVal>
            <c:numRef>
              <c:f>'13-BilanPhotoniqueEtoile'!$L$3:$L$86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6953231.146815107</c:v>
                </c:pt>
                <c:pt idx="5">
                  <c:v>19038410.840735428</c:v>
                </c:pt>
                <c:pt idx="6">
                  <c:v>37258098.626792446</c:v>
                </c:pt>
                <c:pt idx="7">
                  <c:v>54601898.62962691</c:v>
                </c:pt>
                <c:pt idx="8">
                  <c:v>76008990.7290449</c:v>
                </c:pt>
                <c:pt idx="9">
                  <c:v>98696436.24905056</c:v>
                </c:pt>
                <c:pt idx="10">
                  <c:v>121191569.11557662</c:v>
                </c:pt>
                <c:pt idx="11">
                  <c:v>145603075.55404815</c:v>
                </c:pt>
                <c:pt idx="12">
                  <c:v>171603830.47650748</c:v>
                </c:pt>
                <c:pt idx="13">
                  <c:v>198816548.28616753</c:v>
                </c:pt>
                <c:pt idx="14">
                  <c:v>226825004.8006604</c:v>
                </c:pt>
                <c:pt idx="15">
                  <c:v>255185681.73512432</c:v>
                </c:pt>
                <c:pt idx="16">
                  <c:v>283439458.39797026</c:v>
                </c:pt>
                <c:pt idx="17">
                  <c:v>311123029.98744893</c:v>
                </c:pt>
                <c:pt idx="18">
                  <c:v>334593183.3202648</c:v>
                </c:pt>
                <c:pt idx="19">
                  <c:v>356370471.9010732</c:v>
                </c:pt>
                <c:pt idx="20">
                  <c:v>376114401.335915</c:v>
                </c:pt>
                <c:pt idx="21">
                  <c:v>390414797.35081506</c:v>
                </c:pt>
                <c:pt idx="22">
                  <c:v>401350367.0133806</c:v>
                </c:pt>
                <c:pt idx="23">
                  <c:v>409816872.6915225</c:v>
                </c:pt>
                <c:pt idx="24">
                  <c:v>418866231.2748021</c:v>
                </c:pt>
                <c:pt idx="25">
                  <c:v>421434031.24219704</c:v>
                </c:pt>
                <c:pt idx="26">
                  <c:v>421022470.9238219</c:v>
                </c:pt>
                <c:pt idx="27">
                  <c:v>417309064.6291643</c:v>
                </c:pt>
                <c:pt idx="28">
                  <c:v>412048544.6880313</c:v>
                </c:pt>
                <c:pt idx="29">
                  <c:v>404707166.10734737</c:v>
                </c:pt>
                <c:pt idx="30">
                  <c:v>396671946.89450055</c:v>
                </c:pt>
                <c:pt idx="31">
                  <c:v>388000674.24849963</c:v>
                </c:pt>
                <c:pt idx="32">
                  <c:v>378750660.0280158</c:v>
                </c:pt>
                <c:pt idx="33">
                  <c:v>368978516.3731996</c:v>
                </c:pt>
                <c:pt idx="34">
                  <c:v>361437251.15952164</c:v>
                </c:pt>
                <c:pt idx="35">
                  <c:v>353284997.75504893</c:v>
                </c:pt>
                <c:pt idx="36">
                  <c:v>344571642.5277155</c:v>
                </c:pt>
                <c:pt idx="37">
                  <c:v>335347353.43006474</c:v>
                </c:pt>
                <c:pt idx="38">
                  <c:v>325662352.4373318</c:v>
                </c:pt>
                <c:pt idx="39">
                  <c:v>315566704.50423384</c:v>
                </c:pt>
                <c:pt idx="40">
                  <c:v>305110122.16795856</c:v>
                </c:pt>
                <c:pt idx="41">
                  <c:v>294341784.9756746</c:v>
                </c:pt>
                <c:pt idx="42">
                  <c:v>279532703.9926396</c:v>
                </c:pt>
                <c:pt idx="43">
                  <c:v>264903363.12458715</c:v>
                </c:pt>
                <c:pt idx="44">
                  <c:v>250491576.71197575</c:v>
                </c:pt>
                <c:pt idx="45">
                  <c:v>236332155.69477442</c:v>
                </c:pt>
                <c:pt idx="46">
                  <c:v>222456988.04870328</c:v>
                </c:pt>
                <c:pt idx="47">
                  <c:v>208895123.26413202</c:v>
                </c:pt>
                <c:pt idx="48">
                  <c:v>200961315.7273794</c:v>
                </c:pt>
                <c:pt idx="49">
                  <c:v>190225208.30975187</c:v>
                </c:pt>
                <c:pt idx="50">
                  <c:v>178395702.6214777</c:v>
                </c:pt>
                <c:pt idx="51">
                  <c:v>165752928.81407502</c:v>
                </c:pt>
                <c:pt idx="52">
                  <c:v>154539736.01027414</c:v>
                </c:pt>
                <c:pt idx="53">
                  <c:v>142713624.6199935</c:v>
                </c:pt>
                <c:pt idx="54">
                  <c:v>130472036.63477711</c:v>
                </c:pt>
                <c:pt idx="55">
                  <c:v>118924706.3330399</c:v>
                </c:pt>
                <c:pt idx="56">
                  <c:v>108057711.30313917</c:v>
                </c:pt>
                <c:pt idx="57">
                  <c:v>103145173.35327668</c:v>
                </c:pt>
                <c:pt idx="58">
                  <c:v>94350022.75329566</c:v>
                </c:pt>
                <c:pt idx="59">
                  <c:v>87096099.85683717</c:v>
                </c:pt>
                <c:pt idx="60">
                  <c:v>80075770.70392267</c:v>
                </c:pt>
                <c:pt idx="61">
                  <c:v>73302571.47581124</c:v>
                </c:pt>
                <c:pt idx="62">
                  <c:v>66381593.08363646</c:v>
                </c:pt>
                <c:pt idx="63">
                  <c:v>59816269.89884164</c:v>
                </c:pt>
                <c:pt idx="64">
                  <c:v>50684433.07723577</c:v>
                </c:pt>
                <c:pt idx="65">
                  <c:v>40278956.63432696</c:v>
                </c:pt>
                <c:pt idx="66">
                  <c:v>20248463.285948314</c:v>
                </c:pt>
                <c:pt idx="67">
                  <c:v>13262723.67205097</c:v>
                </c:pt>
                <c:pt idx="68">
                  <c:v>15317603.90597959</c:v>
                </c:pt>
                <c:pt idx="69">
                  <c:v>16432060.480294274</c:v>
                </c:pt>
                <c:pt idx="70">
                  <c:v>16744163.258245166</c:v>
                </c:pt>
                <c:pt idx="71">
                  <c:v>16386586.910728708</c:v>
                </c:pt>
                <c:pt idx="72">
                  <c:v>15486370.528382814</c:v>
                </c:pt>
                <c:pt idx="73">
                  <c:v>13220397.895201212</c:v>
                </c:pt>
                <c:pt idx="74">
                  <c:v>10530908.384478956</c:v>
                </c:pt>
                <c:pt idx="75">
                  <c:v>8179806.366602225</c:v>
                </c:pt>
                <c:pt idx="76">
                  <c:v>6154429.7896605525</c:v>
                </c:pt>
                <c:pt idx="77">
                  <c:v>4547670.447860789</c:v>
                </c:pt>
                <c:pt idx="78">
                  <c:v>3101339.413539731</c:v>
                </c:pt>
                <c:pt idx="79">
                  <c:v>1948496.20099327</c:v>
                </c:pt>
                <c:pt idx="80">
                  <c:v>1075573.382209998</c:v>
                </c:pt>
                <c:pt idx="81">
                  <c:v>468946.4469323201</c:v>
                </c:pt>
                <c:pt idx="82">
                  <c:v>106946.92634976559</c:v>
                </c:pt>
                <c:pt idx="83">
                  <c:v>0</c:v>
                </c:pt>
              </c:numCache>
            </c:numRef>
          </c:yVal>
          <c:smooth val="1"/>
        </c:ser>
        <c:axId val="4235898"/>
        <c:axId val="38123083"/>
      </c:scatterChart>
      <c:valAx>
        <c:axId val="4235898"/>
        <c:scaling>
          <c:orientation val="minMax"/>
          <c:min val="2.000000000000001E-0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3083"/>
        <c:crosses val="autoZero"/>
        <c:crossBetween val="midCat"/>
        <c:dispUnits/>
      </c:valAx>
      <c:valAx>
        <c:axId val="381230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8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53725"/>
          <c:w val="0.07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Série11</a:t>
            </a:r>
          </a:p>
        </c:rich>
      </c:tx>
      <c:layout>
        <c:manualLayout>
          <c:xMode val="factor"/>
          <c:yMode val="factor"/>
          <c:x val="0.00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375"/>
          <c:w val="0.9795"/>
          <c:h val="0.8605"/>
        </c:manualLayout>
      </c:layout>
      <c:scatterChart>
        <c:scatterStyle val="smoothMarker"/>
        <c:varyColors val="0"/>
        <c:ser>
          <c:idx val="10"/>
          <c:order val="0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'13-BilanPhotoniqueEtoile'!$A$3:$A$86</c:f>
              <c:numCache>
                <c:ptCount val="84"/>
                <c:pt idx="0">
                  <c:v>2.7E-07</c:v>
                </c:pt>
                <c:pt idx="1">
                  <c:v>2.8E-07</c:v>
                </c:pt>
                <c:pt idx="2">
                  <c:v>2.9E-07</c:v>
                </c:pt>
                <c:pt idx="3">
                  <c:v>3E-07</c:v>
                </c:pt>
                <c:pt idx="4">
                  <c:v>3.1E-07</c:v>
                </c:pt>
                <c:pt idx="5">
                  <c:v>3.2E-07</c:v>
                </c:pt>
                <c:pt idx="6">
                  <c:v>3.3E-07</c:v>
                </c:pt>
                <c:pt idx="7">
                  <c:v>3.4E-07</c:v>
                </c:pt>
                <c:pt idx="8">
                  <c:v>3.5E-07</c:v>
                </c:pt>
                <c:pt idx="9">
                  <c:v>3.6E-07</c:v>
                </c:pt>
                <c:pt idx="10">
                  <c:v>3.7E-07</c:v>
                </c:pt>
                <c:pt idx="11">
                  <c:v>3.8E-07</c:v>
                </c:pt>
                <c:pt idx="12">
                  <c:v>3.9E-07</c:v>
                </c:pt>
                <c:pt idx="13">
                  <c:v>4E-07</c:v>
                </c:pt>
                <c:pt idx="14">
                  <c:v>4.1E-07</c:v>
                </c:pt>
                <c:pt idx="15">
                  <c:v>4.2E-07</c:v>
                </c:pt>
                <c:pt idx="16">
                  <c:v>4.3E-07</c:v>
                </c:pt>
                <c:pt idx="17">
                  <c:v>4.4E-07</c:v>
                </c:pt>
                <c:pt idx="18">
                  <c:v>4.5E-07</c:v>
                </c:pt>
                <c:pt idx="19">
                  <c:v>4.6E-07</c:v>
                </c:pt>
                <c:pt idx="20">
                  <c:v>4.7E-07</c:v>
                </c:pt>
                <c:pt idx="21">
                  <c:v>4.8E-07</c:v>
                </c:pt>
                <c:pt idx="22">
                  <c:v>4.9E-07</c:v>
                </c:pt>
                <c:pt idx="23">
                  <c:v>5E-07</c:v>
                </c:pt>
                <c:pt idx="24">
                  <c:v>5.1E-07</c:v>
                </c:pt>
                <c:pt idx="25">
                  <c:v>5.2E-07</c:v>
                </c:pt>
                <c:pt idx="26">
                  <c:v>5.3E-07</c:v>
                </c:pt>
                <c:pt idx="27">
                  <c:v>5.4E-07</c:v>
                </c:pt>
                <c:pt idx="28">
                  <c:v>5.5E-07</c:v>
                </c:pt>
                <c:pt idx="29">
                  <c:v>5.6E-07</c:v>
                </c:pt>
                <c:pt idx="30">
                  <c:v>5.7E-07</c:v>
                </c:pt>
                <c:pt idx="31">
                  <c:v>5.8E-07</c:v>
                </c:pt>
                <c:pt idx="32">
                  <c:v>5.9E-07</c:v>
                </c:pt>
                <c:pt idx="33">
                  <c:v>6E-07</c:v>
                </c:pt>
                <c:pt idx="34">
                  <c:v>6.1E-07</c:v>
                </c:pt>
                <c:pt idx="35">
                  <c:v>6.2E-07</c:v>
                </c:pt>
                <c:pt idx="36">
                  <c:v>6.3E-07</c:v>
                </c:pt>
                <c:pt idx="37">
                  <c:v>6.4E-07</c:v>
                </c:pt>
                <c:pt idx="38">
                  <c:v>6.5E-07</c:v>
                </c:pt>
                <c:pt idx="39">
                  <c:v>6.6E-07</c:v>
                </c:pt>
                <c:pt idx="40">
                  <c:v>6.7E-07</c:v>
                </c:pt>
                <c:pt idx="41">
                  <c:v>6.8E-07</c:v>
                </c:pt>
                <c:pt idx="42">
                  <c:v>6.9E-07</c:v>
                </c:pt>
                <c:pt idx="43">
                  <c:v>7E-07</c:v>
                </c:pt>
                <c:pt idx="44">
                  <c:v>7.1E-07</c:v>
                </c:pt>
                <c:pt idx="45">
                  <c:v>7.2E-07</c:v>
                </c:pt>
                <c:pt idx="46">
                  <c:v>7.3E-07</c:v>
                </c:pt>
                <c:pt idx="47">
                  <c:v>7.4E-07</c:v>
                </c:pt>
                <c:pt idx="48">
                  <c:v>7.5E-07</c:v>
                </c:pt>
                <c:pt idx="49">
                  <c:v>7.6E-07</c:v>
                </c:pt>
                <c:pt idx="50">
                  <c:v>7.70000000000001E-07</c:v>
                </c:pt>
                <c:pt idx="51">
                  <c:v>7.80000000000001E-07</c:v>
                </c:pt>
                <c:pt idx="52">
                  <c:v>7.90000000000001E-07</c:v>
                </c:pt>
                <c:pt idx="53">
                  <c:v>8.00000000000001E-07</c:v>
                </c:pt>
                <c:pt idx="54">
                  <c:v>8.10000000000001E-07</c:v>
                </c:pt>
                <c:pt idx="55">
                  <c:v>8.20000000000001E-07</c:v>
                </c:pt>
                <c:pt idx="56">
                  <c:v>8.30000000000001E-07</c:v>
                </c:pt>
                <c:pt idx="57">
                  <c:v>8.40000000000001E-07</c:v>
                </c:pt>
                <c:pt idx="58">
                  <c:v>8.50000000000001E-07</c:v>
                </c:pt>
                <c:pt idx="59">
                  <c:v>8.60000000000001E-07</c:v>
                </c:pt>
                <c:pt idx="60">
                  <c:v>8.70000000000001E-07</c:v>
                </c:pt>
                <c:pt idx="61">
                  <c:v>8.80000000000001E-07</c:v>
                </c:pt>
                <c:pt idx="62">
                  <c:v>8.90000000000001E-07</c:v>
                </c:pt>
                <c:pt idx="63">
                  <c:v>9.00000000000001E-07</c:v>
                </c:pt>
                <c:pt idx="64">
                  <c:v>9.10000000000001E-07</c:v>
                </c:pt>
                <c:pt idx="65">
                  <c:v>9.20000000000001E-07</c:v>
                </c:pt>
                <c:pt idx="66">
                  <c:v>9.30000000000001E-07</c:v>
                </c:pt>
                <c:pt idx="67">
                  <c:v>9.40000000000001E-07</c:v>
                </c:pt>
                <c:pt idx="68">
                  <c:v>9.50000000000001E-07</c:v>
                </c:pt>
                <c:pt idx="69">
                  <c:v>9.60000000000001E-07</c:v>
                </c:pt>
                <c:pt idx="70">
                  <c:v>9.70000000000001E-07</c:v>
                </c:pt>
                <c:pt idx="71">
                  <c:v>9.80000000000001E-07</c:v>
                </c:pt>
                <c:pt idx="72">
                  <c:v>9.90000000000001E-07</c:v>
                </c:pt>
                <c:pt idx="73">
                  <c:v>1E-06</c:v>
                </c:pt>
                <c:pt idx="74">
                  <c:v>1.01E-06</c:v>
                </c:pt>
                <c:pt idx="75">
                  <c:v>1.02E-06</c:v>
                </c:pt>
                <c:pt idx="76">
                  <c:v>1.03E-06</c:v>
                </c:pt>
                <c:pt idx="77">
                  <c:v>1.04E-06</c:v>
                </c:pt>
                <c:pt idx="78">
                  <c:v>1.05E-06</c:v>
                </c:pt>
                <c:pt idx="79">
                  <c:v>1.06E-06</c:v>
                </c:pt>
                <c:pt idx="80">
                  <c:v>1.07E-06</c:v>
                </c:pt>
                <c:pt idx="81">
                  <c:v>1.08E-06</c:v>
                </c:pt>
                <c:pt idx="82">
                  <c:v>1.09E-06</c:v>
                </c:pt>
                <c:pt idx="83">
                  <c:v>1.1E-06</c:v>
                </c:pt>
              </c:numCache>
            </c:numRef>
          </c:xVal>
          <c:yVal>
            <c:numRef>
              <c:f>'13-BilanPhotoniqueEtoile'!$L$3:$L$86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6953231.146815107</c:v>
                </c:pt>
                <c:pt idx="5">
                  <c:v>19038410.840735428</c:v>
                </c:pt>
                <c:pt idx="6">
                  <c:v>37258098.626792446</c:v>
                </c:pt>
                <c:pt idx="7">
                  <c:v>54601898.62962691</c:v>
                </c:pt>
                <c:pt idx="8">
                  <c:v>76008990.7290449</c:v>
                </c:pt>
                <c:pt idx="9">
                  <c:v>98696436.24905056</c:v>
                </c:pt>
                <c:pt idx="10">
                  <c:v>121191569.11557662</c:v>
                </c:pt>
                <c:pt idx="11">
                  <c:v>145603075.55404815</c:v>
                </c:pt>
                <c:pt idx="12">
                  <c:v>171603830.47650748</c:v>
                </c:pt>
                <c:pt idx="13">
                  <c:v>198816548.28616753</c:v>
                </c:pt>
                <c:pt idx="14">
                  <c:v>226825004.8006604</c:v>
                </c:pt>
                <c:pt idx="15">
                  <c:v>255185681.73512432</c:v>
                </c:pt>
                <c:pt idx="16">
                  <c:v>283439458.39797026</c:v>
                </c:pt>
                <c:pt idx="17">
                  <c:v>311123029.98744893</c:v>
                </c:pt>
                <c:pt idx="18">
                  <c:v>334593183.3202648</c:v>
                </c:pt>
                <c:pt idx="19">
                  <c:v>356370471.9010732</c:v>
                </c:pt>
                <c:pt idx="20">
                  <c:v>376114401.335915</c:v>
                </c:pt>
                <c:pt idx="21">
                  <c:v>390414797.35081506</c:v>
                </c:pt>
                <c:pt idx="22">
                  <c:v>401350367.0133806</c:v>
                </c:pt>
                <c:pt idx="23">
                  <c:v>409816872.6915225</c:v>
                </c:pt>
                <c:pt idx="24">
                  <c:v>418866231.2748021</c:v>
                </c:pt>
                <c:pt idx="25">
                  <c:v>421434031.24219704</c:v>
                </c:pt>
                <c:pt idx="26">
                  <c:v>421022470.9238219</c:v>
                </c:pt>
                <c:pt idx="27">
                  <c:v>417309064.6291643</c:v>
                </c:pt>
                <c:pt idx="28">
                  <c:v>412048544.6880313</c:v>
                </c:pt>
                <c:pt idx="29">
                  <c:v>404707166.10734737</c:v>
                </c:pt>
                <c:pt idx="30">
                  <c:v>396671946.89450055</c:v>
                </c:pt>
                <c:pt idx="31">
                  <c:v>388000674.24849963</c:v>
                </c:pt>
                <c:pt idx="32">
                  <c:v>378750660.0280158</c:v>
                </c:pt>
                <c:pt idx="33">
                  <c:v>368978516.3731996</c:v>
                </c:pt>
                <c:pt idx="34">
                  <c:v>361437251.15952164</c:v>
                </c:pt>
                <c:pt idx="35">
                  <c:v>353284997.75504893</c:v>
                </c:pt>
                <c:pt idx="36">
                  <c:v>344571642.5277155</c:v>
                </c:pt>
                <c:pt idx="37">
                  <c:v>335347353.43006474</c:v>
                </c:pt>
                <c:pt idx="38">
                  <c:v>325662352.4373318</c:v>
                </c:pt>
                <c:pt idx="39">
                  <c:v>315566704.50423384</c:v>
                </c:pt>
                <c:pt idx="40">
                  <c:v>305110122.16795856</c:v>
                </c:pt>
                <c:pt idx="41">
                  <c:v>294341784.9756746</c:v>
                </c:pt>
                <c:pt idx="42">
                  <c:v>279532703.9926396</c:v>
                </c:pt>
                <c:pt idx="43">
                  <c:v>264903363.12458715</c:v>
                </c:pt>
                <c:pt idx="44">
                  <c:v>250491576.71197575</c:v>
                </c:pt>
                <c:pt idx="45">
                  <c:v>236332155.69477442</c:v>
                </c:pt>
                <c:pt idx="46">
                  <c:v>222456988.04870328</c:v>
                </c:pt>
                <c:pt idx="47">
                  <c:v>208895123.26413202</c:v>
                </c:pt>
                <c:pt idx="48">
                  <c:v>200961315.7273794</c:v>
                </c:pt>
                <c:pt idx="49">
                  <c:v>190225208.30975187</c:v>
                </c:pt>
                <c:pt idx="50">
                  <c:v>178395702.6214777</c:v>
                </c:pt>
                <c:pt idx="51">
                  <c:v>165752928.81407502</c:v>
                </c:pt>
                <c:pt idx="52">
                  <c:v>154539736.01027414</c:v>
                </c:pt>
                <c:pt idx="53">
                  <c:v>142713624.6199935</c:v>
                </c:pt>
                <c:pt idx="54">
                  <c:v>130472036.63477711</c:v>
                </c:pt>
                <c:pt idx="55">
                  <c:v>118924706.3330399</c:v>
                </c:pt>
                <c:pt idx="56">
                  <c:v>108057711.30313917</c:v>
                </c:pt>
                <c:pt idx="57">
                  <c:v>103145173.35327668</c:v>
                </c:pt>
                <c:pt idx="58">
                  <c:v>94350022.75329566</c:v>
                </c:pt>
                <c:pt idx="59">
                  <c:v>87096099.85683717</c:v>
                </c:pt>
                <c:pt idx="60">
                  <c:v>80075770.70392267</c:v>
                </c:pt>
                <c:pt idx="61">
                  <c:v>73302571.47581124</c:v>
                </c:pt>
                <c:pt idx="62">
                  <c:v>66381593.08363646</c:v>
                </c:pt>
                <c:pt idx="63">
                  <c:v>59816269.89884164</c:v>
                </c:pt>
                <c:pt idx="64">
                  <c:v>50684433.07723577</c:v>
                </c:pt>
                <c:pt idx="65">
                  <c:v>40278956.63432696</c:v>
                </c:pt>
                <c:pt idx="66">
                  <c:v>20248463.285948314</c:v>
                </c:pt>
                <c:pt idx="67">
                  <c:v>13262723.67205097</c:v>
                </c:pt>
                <c:pt idx="68">
                  <c:v>15317603.90597959</c:v>
                </c:pt>
                <c:pt idx="69">
                  <c:v>16432060.480294274</c:v>
                </c:pt>
                <c:pt idx="70">
                  <c:v>16744163.258245166</c:v>
                </c:pt>
                <c:pt idx="71">
                  <c:v>16386586.910728708</c:v>
                </c:pt>
                <c:pt idx="72">
                  <c:v>15486370.528382814</c:v>
                </c:pt>
                <c:pt idx="73">
                  <c:v>13220397.895201212</c:v>
                </c:pt>
                <c:pt idx="74">
                  <c:v>10530908.384478956</c:v>
                </c:pt>
                <c:pt idx="75">
                  <c:v>8179806.366602225</c:v>
                </c:pt>
                <c:pt idx="76">
                  <c:v>6154429.7896605525</c:v>
                </c:pt>
                <c:pt idx="77">
                  <c:v>4547670.447860789</c:v>
                </c:pt>
                <c:pt idx="78">
                  <c:v>3101339.413539731</c:v>
                </c:pt>
                <c:pt idx="79">
                  <c:v>1948496.20099327</c:v>
                </c:pt>
                <c:pt idx="80">
                  <c:v>1075573.382209998</c:v>
                </c:pt>
                <c:pt idx="81">
                  <c:v>468946.4469323201</c:v>
                </c:pt>
                <c:pt idx="82">
                  <c:v>106946.92634976559</c:v>
                </c:pt>
                <c:pt idx="83">
                  <c:v>0</c:v>
                </c:pt>
              </c:numCache>
            </c:numRef>
          </c:yVal>
          <c:smooth val="1"/>
        </c:ser>
        <c:axId val="55562096"/>
        <c:axId val="30296817"/>
      </c:scatterChart>
      <c:valAx>
        <c:axId val="55562096"/>
        <c:scaling>
          <c:orientation val="minMax"/>
          <c:min val="2.000000000000001E-0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96817"/>
        <c:crosses val="autoZero"/>
        <c:crossBetween val="midCat"/>
        <c:dispUnits/>
      </c:valAx>
      <c:valAx>
        <c:axId val="3029681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20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53725"/>
          <c:w val="0.078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QE du Silicium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925"/>
          <c:w val="0.967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'13-BilanPhotoniqueEtoile'!$K$1</c:f>
              <c:strCache>
                <c:ptCount val="1"/>
                <c:pt idx="0">
                  <c:v>QE du Silicium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'13-BilanPhotoniqueEtoile'!$K$2:$K$88</c:f>
              <c:numCache>
                <c:ptCount val="87"/>
                <c:pt idx="1">
                  <c:v>0.011282439518179366</c:v>
                </c:pt>
                <c:pt idx="2">
                  <c:v>0.02525250136123458</c:v>
                </c:pt>
                <c:pt idx="3">
                  <c:v>0.04456400944391131</c:v>
                </c:pt>
                <c:pt idx="4">
                  <c:v>0.06897411034727202</c:v>
                </c:pt>
                <c:pt idx="5">
                  <c:v>0.09817583288938647</c:v>
                </c:pt>
                <c:pt idx="6">
                  <c:v>0.13180194846605348</c:v>
                </c:pt>
                <c:pt idx="7">
                  <c:v>0.16942958916356976</c:v>
                </c:pt>
                <c:pt idx="8">
                  <c:v>0.21058556556809824</c:v>
                </c:pt>
                <c:pt idx="9">
                  <c:v>0.2547523173970987</c:v>
                </c:pt>
                <c:pt idx="10">
                  <c:v>0.30137442212017473</c:v>
                </c:pt>
                <c:pt idx="11">
                  <c:v>0.3498655797196585</c:v>
                </c:pt>
                <c:pt idx="12">
                  <c:v>0.3996159857535114</c:v>
                </c:pt>
                <c:pt idx="13">
                  <c:v>0.45</c:v>
                </c:pt>
                <c:pt idx="14">
                  <c:v>0.5003840142464884</c:v>
                </c:pt>
                <c:pt idx="15">
                  <c:v>0.5501344202803414</c:v>
                </c:pt>
                <c:pt idx="16">
                  <c:v>0.5986255778798251</c:v>
                </c:pt>
                <c:pt idx="17">
                  <c:v>0.6452476826029011</c:v>
                </c:pt>
                <c:pt idx="18">
                  <c:v>0.6894144344319015</c:v>
                </c:pt>
                <c:pt idx="19">
                  <c:v>0.7305704108364299</c:v>
                </c:pt>
                <c:pt idx="20">
                  <c:v>0.7681980515339464</c:v>
                </c:pt>
                <c:pt idx="21">
                  <c:v>0.8018241671106134</c:v>
                </c:pt>
                <c:pt idx="22">
                  <c:v>0.8310258896527277</c:v>
                </c:pt>
                <c:pt idx="23">
                  <c:v>0.8554359905560885</c:v>
                </c:pt>
                <c:pt idx="24">
                  <c:v>0.8747474986387653</c:v>
                </c:pt>
                <c:pt idx="25">
                  <c:v>0.8887175604818206</c:v>
                </c:pt>
                <c:pt idx="26">
                  <c:v>0.8971704944519592</c:v>
                </c:pt>
                <c:pt idx="27">
                  <c:v>0.9</c:v>
                </c:pt>
                <c:pt idx="28">
                  <c:v>0.8992386712220707</c:v>
                </c:pt>
                <c:pt idx="29">
                  <c:v>0.8969572609838744</c:v>
                </c:pt>
                <c:pt idx="30">
                  <c:v>0.8931634888554936</c:v>
                </c:pt>
                <c:pt idx="31">
                  <c:v>0.8878701917609207</c:v>
                </c:pt>
                <c:pt idx="32">
                  <c:v>0.8810952805419701</c:v>
                </c:pt>
                <c:pt idx="33">
                  <c:v>0.8728616793536588</c:v>
                </c:pt>
                <c:pt idx="34">
                  <c:v>0.8631972480961234</c:v>
                </c:pt>
                <c:pt idx="35">
                  <c:v>0.8521346881455356</c:v>
                </c:pt>
                <c:pt idx="36">
                  <c:v>0.8397114317029974</c:v>
                </c:pt>
                <c:pt idx="37">
                  <c:v>0.8259695151358214</c:v>
                </c:pt>
                <c:pt idx="38">
                  <c:v>0.8109554367397698</c:v>
                </c:pt>
                <c:pt idx="39">
                  <c:v>0.7947199994035401</c:v>
                </c:pt>
                <c:pt idx="40">
                  <c:v>0.7773181387078718</c:v>
                </c:pt>
                <c:pt idx="41">
                  <c:v>0.75880873704093</c:v>
                </c:pt>
                <c:pt idx="42">
                  <c:v>0.7392544243589427</c:v>
                </c:pt>
                <c:pt idx="43">
                  <c:v>0.7187213662662538</c:v>
                </c:pt>
                <c:pt idx="44">
                  <c:v>0.6972790401318627</c:v>
                </c:pt>
                <c:pt idx="45">
                  <c:v>0.675</c:v>
                </c:pt>
                <c:pt idx="46">
                  <c:v>0.651959631090208</c:v>
                </c:pt>
                <c:pt idx="47">
                  <c:v>0.6282358947176205</c:v>
                </c:pt>
                <c:pt idx="48">
                  <c:v>0.6039090644965509</c:v>
                </c:pt>
                <c:pt idx="49">
                  <c:v>0.5790614547199906</c:v>
                </c:pt>
                <c:pt idx="50">
                  <c:v>0.553777141834098</c:v>
                </c:pt>
                <c:pt idx="51">
                  <c:v>0.5281416799501161</c:v>
                </c:pt>
                <c:pt idx="52">
                  <c:v>0.5022418113563509</c:v>
                </c:pt>
                <c:pt idx="53">
                  <c:v>0.47616517300971145</c:v>
                </c:pt>
                <c:pt idx="54">
                  <c:v>0.4499999999999975</c:v>
                </c:pt>
                <c:pt idx="55">
                  <c:v>0.4264488196906728</c:v>
                </c:pt>
                <c:pt idx="56">
                  <c:v>0.4029621915295534</c:v>
                </c:pt>
                <c:pt idx="57">
                  <c:v>0.3796044907318939</c:v>
                </c:pt>
                <c:pt idx="58">
                  <c:v>0.35643973913200605</c:v>
                </c:pt>
                <c:pt idx="59">
                  <c:v>0.3335314297038634</c:v>
                </c:pt>
                <c:pt idx="60">
                  <c:v>0.3109423525312714</c:v>
                </c:pt>
                <c:pt idx="61">
                  <c:v>0.28873442270461275</c:v>
                </c:pt>
                <c:pt idx="62">
                  <c:v>0.2669685106158878</c:v>
                </c:pt>
                <c:pt idx="63">
                  <c:v>0.24570427511720186</c:v>
                </c:pt>
                <c:pt idx="64">
                  <c:v>0.224999999999998</c:v>
                </c:pt>
                <c:pt idx="65">
                  <c:v>0.20491243424323577</c:v>
                </c:pt>
                <c:pt idx="66">
                  <c:v>0.1854966364683852</c:v>
                </c:pt>
                <c:pt idx="67">
                  <c:v>0.16680582402757121</c:v>
                </c:pt>
                <c:pt idx="68">
                  <c:v>0.14889122713851216</c:v>
                </c:pt>
                <c:pt idx="69">
                  <c:v>0.1318019484660521</c:v>
                </c:pt>
                <c:pt idx="70">
                  <c:v>0.11558482853517105</c:v>
                </c:pt>
                <c:pt idx="71">
                  <c:v>0.1002843173443616</c:v>
                </c:pt>
                <c:pt idx="72">
                  <c:v>0.08594235253127241</c:v>
                </c:pt>
                <c:pt idx="73">
                  <c:v>0.07259824442455803</c:v>
                </c:pt>
                <c:pt idx="74">
                  <c:v>0.06028856829700269</c:v>
                </c:pt>
                <c:pt idx="75">
                  <c:v>0.04904706411523452</c:v>
                </c:pt>
                <c:pt idx="76">
                  <c:v>0.038904544060829716</c:v>
                </c:pt>
                <c:pt idx="77">
                  <c:v>0.02988880807625921</c:v>
                </c:pt>
                <c:pt idx="78">
                  <c:v>0.022024567667180917</c:v>
                </c:pt>
                <c:pt idx="79">
                  <c:v>0.015333378169919365</c:v>
                </c:pt>
                <c:pt idx="80">
                  <c:v>0.009833579669787484</c:v>
                </c:pt>
                <c:pt idx="81">
                  <c:v>0.005540246732188114</c:v>
                </c:pt>
                <c:pt idx="82">
                  <c:v>0.0024651470842770307</c:v>
                </c:pt>
                <c:pt idx="83">
                  <c:v>0.0006167093604417806</c:v>
                </c:pt>
                <c:pt idx="84">
                  <c:v>0</c:v>
                </c:pt>
              </c:numCache>
            </c:numRef>
          </c:val>
          <c:smooth val="0"/>
        </c:ser>
        <c:marker val="1"/>
        <c:axId val="7563428"/>
        <c:axId val="961989"/>
      </c:line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 val="autoZero"/>
        <c:auto val="1"/>
        <c:lblOffset val="100"/>
        <c:tickLblSkip val="8"/>
        <c:noMultiLvlLbl val="0"/>
      </c:catAx>
      <c:valAx>
        <c:axId val="961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"/>
          <c:y val="0.07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'13-BilanPhotoniqueEtoile'!$A$3:$A$86</c:f>
              <c:numCache>
                <c:ptCount val="84"/>
                <c:pt idx="0">
                  <c:v>2.7E-07</c:v>
                </c:pt>
                <c:pt idx="1">
                  <c:v>2.8E-07</c:v>
                </c:pt>
                <c:pt idx="2">
                  <c:v>2.9E-07</c:v>
                </c:pt>
                <c:pt idx="3">
                  <c:v>3E-07</c:v>
                </c:pt>
                <c:pt idx="4">
                  <c:v>3.1E-07</c:v>
                </c:pt>
                <c:pt idx="5">
                  <c:v>3.2E-07</c:v>
                </c:pt>
                <c:pt idx="6">
                  <c:v>3.3E-07</c:v>
                </c:pt>
                <c:pt idx="7">
                  <c:v>3.4E-07</c:v>
                </c:pt>
                <c:pt idx="8">
                  <c:v>3.5E-07</c:v>
                </c:pt>
                <c:pt idx="9">
                  <c:v>3.6E-07</c:v>
                </c:pt>
                <c:pt idx="10">
                  <c:v>3.7E-07</c:v>
                </c:pt>
                <c:pt idx="11">
                  <c:v>3.8E-07</c:v>
                </c:pt>
                <c:pt idx="12">
                  <c:v>3.9E-07</c:v>
                </c:pt>
                <c:pt idx="13">
                  <c:v>4E-07</c:v>
                </c:pt>
                <c:pt idx="14">
                  <c:v>4.1E-07</c:v>
                </c:pt>
                <c:pt idx="15">
                  <c:v>4.2E-07</c:v>
                </c:pt>
                <c:pt idx="16">
                  <c:v>4.3E-07</c:v>
                </c:pt>
                <c:pt idx="17">
                  <c:v>4.4E-07</c:v>
                </c:pt>
                <c:pt idx="18">
                  <c:v>4.5E-07</c:v>
                </c:pt>
                <c:pt idx="19">
                  <c:v>4.6E-07</c:v>
                </c:pt>
                <c:pt idx="20">
                  <c:v>4.7E-07</c:v>
                </c:pt>
                <c:pt idx="21">
                  <c:v>4.8E-07</c:v>
                </c:pt>
                <c:pt idx="22">
                  <c:v>4.9E-07</c:v>
                </c:pt>
                <c:pt idx="23">
                  <c:v>5E-07</c:v>
                </c:pt>
                <c:pt idx="24">
                  <c:v>5.1E-07</c:v>
                </c:pt>
                <c:pt idx="25">
                  <c:v>5.2E-07</c:v>
                </c:pt>
                <c:pt idx="26">
                  <c:v>5.3E-07</c:v>
                </c:pt>
                <c:pt idx="27">
                  <c:v>5.4E-07</c:v>
                </c:pt>
                <c:pt idx="28">
                  <c:v>5.5E-07</c:v>
                </c:pt>
                <c:pt idx="29">
                  <c:v>5.6E-07</c:v>
                </c:pt>
                <c:pt idx="30">
                  <c:v>5.7E-07</c:v>
                </c:pt>
                <c:pt idx="31">
                  <c:v>5.8E-07</c:v>
                </c:pt>
                <c:pt idx="32">
                  <c:v>5.9E-07</c:v>
                </c:pt>
                <c:pt idx="33">
                  <c:v>6E-07</c:v>
                </c:pt>
                <c:pt idx="34">
                  <c:v>6.1E-07</c:v>
                </c:pt>
                <c:pt idx="35">
                  <c:v>6.2E-07</c:v>
                </c:pt>
                <c:pt idx="36">
                  <c:v>6.3E-07</c:v>
                </c:pt>
                <c:pt idx="37">
                  <c:v>6.4E-07</c:v>
                </c:pt>
                <c:pt idx="38">
                  <c:v>6.5E-07</c:v>
                </c:pt>
                <c:pt idx="39">
                  <c:v>6.6E-07</c:v>
                </c:pt>
                <c:pt idx="40">
                  <c:v>6.7E-07</c:v>
                </c:pt>
                <c:pt idx="41">
                  <c:v>6.8E-07</c:v>
                </c:pt>
                <c:pt idx="42">
                  <c:v>6.9E-07</c:v>
                </c:pt>
                <c:pt idx="43">
                  <c:v>7E-07</c:v>
                </c:pt>
                <c:pt idx="44">
                  <c:v>7.1E-07</c:v>
                </c:pt>
                <c:pt idx="45">
                  <c:v>7.2E-07</c:v>
                </c:pt>
                <c:pt idx="46">
                  <c:v>7.3E-07</c:v>
                </c:pt>
                <c:pt idx="47">
                  <c:v>7.4E-07</c:v>
                </c:pt>
                <c:pt idx="48">
                  <c:v>7.5E-07</c:v>
                </c:pt>
                <c:pt idx="49">
                  <c:v>7.6E-07</c:v>
                </c:pt>
                <c:pt idx="50">
                  <c:v>7.70000000000001E-07</c:v>
                </c:pt>
                <c:pt idx="51">
                  <c:v>7.80000000000001E-07</c:v>
                </c:pt>
                <c:pt idx="52">
                  <c:v>7.90000000000001E-07</c:v>
                </c:pt>
                <c:pt idx="53">
                  <c:v>8.00000000000001E-07</c:v>
                </c:pt>
                <c:pt idx="54">
                  <c:v>8.10000000000001E-07</c:v>
                </c:pt>
                <c:pt idx="55">
                  <c:v>8.20000000000001E-07</c:v>
                </c:pt>
                <c:pt idx="56">
                  <c:v>8.30000000000001E-07</c:v>
                </c:pt>
                <c:pt idx="57">
                  <c:v>8.40000000000001E-07</c:v>
                </c:pt>
                <c:pt idx="58">
                  <c:v>8.50000000000001E-07</c:v>
                </c:pt>
                <c:pt idx="59">
                  <c:v>8.60000000000001E-07</c:v>
                </c:pt>
                <c:pt idx="60">
                  <c:v>8.70000000000001E-07</c:v>
                </c:pt>
                <c:pt idx="61">
                  <c:v>8.80000000000001E-07</c:v>
                </c:pt>
                <c:pt idx="62">
                  <c:v>8.90000000000001E-07</c:v>
                </c:pt>
                <c:pt idx="63">
                  <c:v>9.00000000000001E-07</c:v>
                </c:pt>
                <c:pt idx="64">
                  <c:v>9.10000000000001E-07</c:v>
                </c:pt>
                <c:pt idx="65">
                  <c:v>9.20000000000001E-07</c:v>
                </c:pt>
                <c:pt idx="66">
                  <c:v>9.30000000000001E-07</c:v>
                </c:pt>
                <c:pt idx="67">
                  <c:v>9.40000000000001E-07</c:v>
                </c:pt>
                <c:pt idx="68">
                  <c:v>9.50000000000001E-07</c:v>
                </c:pt>
                <c:pt idx="69">
                  <c:v>9.60000000000001E-07</c:v>
                </c:pt>
                <c:pt idx="70">
                  <c:v>9.70000000000001E-07</c:v>
                </c:pt>
                <c:pt idx="71">
                  <c:v>9.80000000000001E-07</c:v>
                </c:pt>
                <c:pt idx="72">
                  <c:v>9.90000000000001E-07</c:v>
                </c:pt>
                <c:pt idx="73">
                  <c:v>1E-06</c:v>
                </c:pt>
                <c:pt idx="74">
                  <c:v>1.01E-06</c:v>
                </c:pt>
                <c:pt idx="75">
                  <c:v>1.02E-06</c:v>
                </c:pt>
                <c:pt idx="76">
                  <c:v>1.03E-06</c:v>
                </c:pt>
                <c:pt idx="77">
                  <c:v>1.04E-06</c:v>
                </c:pt>
                <c:pt idx="78">
                  <c:v>1.05E-06</c:v>
                </c:pt>
                <c:pt idx="79">
                  <c:v>1.06E-06</c:v>
                </c:pt>
                <c:pt idx="80">
                  <c:v>1.07E-06</c:v>
                </c:pt>
                <c:pt idx="81">
                  <c:v>1.08E-06</c:v>
                </c:pt>
                <c:pt idx="82">
                  <c:v>1.09E-06</c:v>
                </c:pt>
                <c:pt idx="83">
                  <c:v>1.1E-06</c:v>
                </c:pt>
              </c:numCache>
            </c:numRef>
          </c:xVal>
          <c:yVal>
            <c:numRef>
              <c:f>'13-BilanPhotoniqueEtoile'!$L$3:$L$86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6953231.146815107</c:v>
                </c:pt>
                <c:pt idx="5">
                  <c:v>19038410.840735428</c:v>
                </c:pt>
                <c:pt idx="6">
                  <c:v>37258098.626792446</c:v>
                </c:pt>
                <c:pt idx="7">
                  <c:v>54601898.62962691</c:v>
                </c:pt>
                <c:pt idx="8">
                  <c:v>76008990.7290449</c:v>
                </c:pt>
                <c:pt idx="9">
                  <c:v>98696436.24905056</c:v>
                </c:pt>
                <c:pt idx="10">
                  <c:v>121191569.11557662</c:v>
                </c:pt>
                <c:pt idx="11">
                  <c:v>145603075.55404815</c:v>
                </c:pt>
                <c:pt idx="12">
                  <c:v>171603830.47650748</c:v>
                </c:pt>
                <c:pt idx="13">
                  <c:v>198816548.28616753</c:v>
                </c:pt>
                <c:pt idx="14">
                  <c:v>226825004.8006604</c:v>
                </c:pt>
                <c:pt idx="15">
                  <c:v>255185681.73512432</c:v>
                </c:pt>
                <c:pt idx="16">
                  <c:v>283439458.39797026</c:v>
                </c:pt>
                <c:pt idx="17">
                  <c:v>311123029.98744893</c:v>
                </c:pt>
                <c:pt idx="18">
                  <c:v>334593183.3202648</c:v>
                </c:pt>
                <c:pt idx="19">
                  <c:v>356370471.9010732</c:v>
                </c:pt>
                <c:pt idx="20">
                  <c:v>376114401.335915</c:v>
                </c:pt>
                <c:pt idx="21">
                  <c:v>390414797.35081506</c:v>
                </c:pt>
                <c:pt idx="22">
                  <c:v>401350367.0133806</c:v>
                </c:pt>
                <c:pt idx="23">
                  <c:v>409816872.6915225</c:v>
                </c:pt>
                <c:pt idx="24">
                  <c:v>418866231.2748021</c:v>
                </c:pt>
                <c:pt idx="25">
                  <c:v>421434031.24219704</c:v>
                </c:pt>
                <c:pt idx="26">
                  <c:v>421022470.9238219</c:v>
                </c:pt>
                <c:pt idx="27">
                  <c:v>417309064.6291643</c:v>
                </c:pt>
                <c:pt idx="28">
                  <c:v>412048544.6880313</c:v>
                </c:pt>
                <c:pt idx="29">
                  <c:v>404707166.10734737</c:v>
                </c:pt>
                <c:pt idx="30">
                  <c:v>396671946.89450055</c:v>
                </c:pt>
                <c:pt idx="31">
                  <c:v>388000674.24849963</c:v>
                </c:pt>
                <c:pt idx="32">
                  <c:v>378750660.0280158</c:v>
                </c:pt>
                <c:pt idx="33">
                  <c:v>368978516.3731996</c:v>
                </c:pt>
                <c:pt idx="34">
                  <c:v>361437251.15952164</c:v>
                </c:pt>
                <c:pt idx="35">
                  <c:v>353284997.75504893</c:v>
                </c:pt>
                <c:pt idx="36">
                  <c:v>344571642.5277155</c:v>
                </c:pt>
                <c:pt idx="37">
                  <c:v>335347353.43006474</c:v>
                </c:pt>
                <c:pt idx="38">
                  <c:v>325662352.4373318</c:v>
                </c:pt>
                <c:pt idx="39">
                  <c:v>315566704.50423384</c:v>
                </c:pt>
                <c:pt idx="40">
                  <c:v>305110122.16795856</c:v>
                </c:pt>
                <c:pt idx="41">
                  <c:v>294341784.9756746</c:v>
                </c:pt>
                <c:pt idx="42">
                  <c:v>279532703.9926396</c:v>
                </c:pt>
                <c:pt idx="43">
                  <c:v>264903363.12458715</c:v>
                </c:pt>
                <c:pt idx="44">
                  <c:v>250491576.71197575</c:v>
                </c:pt>
                <c:pt idx="45">
                  <c:v>236332155.69477442</c:v>
                </c:pt>
                <c:pt idx="46">
                  <c:v>222456988.04870328</c:v>
                </c:pt>
                <c:pt idx="47">
                  <c:v>208895123.26413202</c:v>
                </c:pt>
                <c:pt idx="48">
                  <c:v>200961315.7273794</c:v>
                </c:pt>
                <c:pt idx="49">
                  <c:v>190225208.30975187</c:v>
                </c:pt>
                <c:pt idx="50">
                  <c:v>178395702.6214777</c:v>
                </c:pt>
                <c:pt idx="51">
                  <c:v>165752928.81407502</c:v>
                </c:pt>
                <c:pt idx="52">
                  <c:v>154539736.01027414</c:v>
                </c:pt>
                <c:pt idx="53">
                  <c:v>142713624.6199935</c:v>
                </c:pt>
                <c:pt idx="54">
                  <c:v>130472036.63477711</c:v>
                </c:pt>
                <c:pt idx="55">
                  <c:v>118924706.3330399</c:v>
                </c:pt>
                <c:pt idx="56">
                  <c:v>108057711.30313917</c:v>
                </c:pt>
                <c:pt idx="57">
                  <c:v>103145173.35327668</c:v>
                </c:pt>
                <c:pt idx="58">
                  <c:v>94350022.75329566</c:v>
                </c:pt>
                <c:pt idx="59">
                  <c:v>87096099.85683717</c:v>
                </c:pt>
                <c:pt idx="60">
                  <c:v>80075770.70392267</c:v>
                </c:pt>
                <c:pt idx="61">
                  <c:v>73302571.47581124</c:v>
                </c:pt>
                <c:pt idx="62">
                  <c:v>66381593.08363646</c:v>
                </c:pt>
                <c:pt idx="63">
                  <c:v>59816269.89884164</c:v>
                </c:pt>
                <c:pt idx="64">
                  <c:v>50684433.07723577</c:v>
                </c:pt>
                <c:pt idx="65">
                  <c:v>40278956.63432696</c:v>
                </c:pt>
                <c:pt idx="66">
                  <c:v>20248463.285948314</c:v>
                </c:pt>
                <c:pt idx="67">
                  <c:v>13262723.67205097</c:v>
                </c:pt>
                <c:pt idx="68">
                  <c:v>15317603.90597959</c:v>
                </c:pt>
                <c:pt idx="69">
                  <c:v>16432060.480294274</c:v>
                </c:pt>
                <c:pt idx="70">
                  <c:v>16744163.258245166</c:v>
                </c:pt>
                <c:pt idx="71">
                  <c:v>16386586.910728708</c:v>
                </c:pt>
                <c:pt idx="72">
                  <c:v>15486370.528382814</c:v>
                </c:pt>
                <c:pt idx="73">
                  <c:v>13220397.895201212</c:v>
                </c:pt>
                <c:pt idx="74">
                  <c:v>10530908.384478956</c:v>
                </c:pt>
                <c:pt idx="75">
                  <c:v>8179806.366602225</c:v>
                </c:pt>
                <c:pt idx="76">
                  <c:v>6154429.7896605525</c:v>
                </c:pt>
                <c:pt idx="77">
                  <c:v>4547670.447860789</c:v>
                </c:pt>
                <c:pt idx="78">
                  <c:v>3101339.413539731</c:v>
                </c:pt>
                <c:pt idx="79">
                  <c:v>1948496.20099327</c:v>
                </c:pt>
                <c:pt idx="80">
                  <c:v>1075573.382209998</c:v>
                </c:pt>
                <c:pt idx="81">
                  <c:v>468946.4469323201</c:v>
                </c:pt>
                <c:pt idx="82">
                  <c:v>106946.92634976559</c:v>
                </c:pt>
                <c:pt idx="83">
                  <c:v>0</c:v>
                </c:pt>
              </c:numCache>
            </c:numRef>
          </c:yVal>
          <c:smooth val="0"/>
        </c:ser>
        <c:axId val="8657902"/>
        <c:axId val="10812255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'15-BilanPhotoniqueAsteroide'!$A$3:$A$86</c:f>
              <c:numCache>
                <c:ptCount val="84"/>
                <c:pt idx="0">
                  <c:v>2.7E-07</c:v>
                </c:pt>
                <c:pt idx="1">
                  <c:v>2.8E-07</c:v>
                </c:pt>
                <c:pt idx="2">
                  <c:v>2.9E-07</c:v>
                </c:pt>
                <c:pt idx="3">
                  <c:v>3E-07</c:v>
                </c:pt>
                <c:pt idx="4">
                  <c:v>3.1E-07</c:v>
                </c:pt>
                <c:pt idx="5">
                  <c:v>3.2E-07</c:v>
                </c:pt>
                <c:pt idx="6">
                  <c:v>3.3E-07</c:v>
                </c:pt>
                <c:pt idx="7">
                  <c:v>3.4E-07</c:v>
                </c:pt>
                <c:pt idx="8">
                  <c:v>3.5E-07</c:v>
                </c:pt>
                <c:pt idx="9">
                  <c:v>3.6E-07</c:v>
                </c:pt>
                <c:pt idx="10">
                  <c:v>3.7E-07</c:v>
                </c:pt>
                <c:pt idx="11">
                  <c:v>3.8E-07</c:v>
                </c:pt>
                <c:pt idx="12">
                  <c:v>3.9E-07</c:v>
                </c:pt>
                <c:pt idx="13">
                  <c:v>4E-07</c:v>
                </c:pt>
                <c:pt idx="14">
                  <c:v>4.1E-07</c:v>
                </c:pt>
                <c:pt idx="15">
                  <c:v>4.2E-07</c:v>
                </c:pt>
                <c:pt idx="16">
                  <c:v>4.3E-07</c:v>
                </c:pt>
                <c:pt idx="17">
                  <c:v>4.4E-07</c:v>
                </c:pt>
                <c:pt idx="18">
                  <c:v>4.5E-07</c:v>
                </c:pt>
                <c:pt idx="19">
                  <c:v>4.6E-07</c:v>
                </c:pt>
                <c:pt idx="20">
                  <c:v>4.7E-07</c:v>
                </c:pt>
                <c:pt idx="21">
                  <c:v>4.8E-07</c:v>
                </c:pt>
                <c:pt idx="22">
                  <c:v>4.9E-07</c:v>
                </c:pt>
                <c:pt idx="23">
                  <c:v>5E-07</c:v>
                </c:pt>
                <c:pt idx="24">
                  <c:v>5.1E-07</c:v>
                </c:pt>
                <c:pt idx="25">
                  <c:v>5.2E-07</c:v>
                </c:pt>
                <c:pt idx="26">
                  <c:v>5.3E-07</c:v>
                </c:pt>
                <c:pt idx="27">
                  <c:v>5.4E-07</c:v>
                </c:pt>
                <c:pt idx="28">
                  <c:v>5.5E-07</c:v>
                </c:pt>
                <c:pt idx="29">
                  <c:v>5.6E-07</c:v>
                </c:pt>
                <c:pt idx="30">
                  <c:v>5.7E-07</c:v>
                </c:pt>
                <c:pt idx="31">
                  <c:v>5.8E-07</c:v>
                </c:pt>
                <c:pt idx="32">
                  <c:v>5.9E-07</c:v>
                </c:pt>
                <c:pt idx="33">
                  <c:v>6E-07</c:v>
                </c:pt>
                <c:pt idx="34">
                  <c:v>6.1E-07</c:v>
                </c:pt>
                <c:pt idx="35">
                  <c:v>6.2E-07</c:v>
                </c:pt>
                <c:pt idx="36">
                  <c:v>6.3E-07</c:v>
                </c:pt>
                <c:pt idx="37">
                  <c:v>6.4E-07</c:v>
                </c:pt>
                <c:pt idx="38">
                  <c:v>6.5E-07</c:v>
                </c:pt>
                <c:pt idx="39">
                  <c:v>6.6E-07</c:v>
                </c:pt>
                <c:pt idx="40">
                  <c:v>6.7E-07</c:v>
                </c:pt>
                <c:pt idx="41">
                  <c:v>6.8E-07</c:v>
                </c:pt>
                <c:pt idx="42">
                  <c:v>6.9E-07</c:v>
                </c:pt>
                <c:pt idx="43">
                  <c:v>7E-07</c:v>
                </c:pt>
                <c:pt idx="44">
                  <c:v>7.1E-07</c:v>
                </c:pt>
                <c:pt idx="45">
                  <c:v>7.2E-07</c:v>
                </c:pt>
                <c:pt idx="46">
                  <c:v>7.3E-07</c:v>
                </c:pt>
                <c:pt idx="47">
                  <c:v>7.4E-07</c:v>
                </c:pt>
                <c:pt idx="48">
                  <c:v>7.5E-07</c:v>
                </c:pt>
                <c:pt idx="49">
                  <c:v>7.6E-07</c:v>
                </c:pt>
                <c:pt idx="50">
                  <c:v>7.70000000000001E-07</c:v>
                </c:pt>
                <c:pt idx="51">
                  <c:v>7.80000000000001E-07</c:v>
                </c:pt>
                <c:pt idx="52">
                  <c:v>7.90000000000001E-07</c:v>
                </c:pt>
                <c:pt idx="53">
                  <c:v>8.00000000000001E-07</c:v>
                </c:pt>
                <c:pt idx="54">
                  <c:v>8.10000000000001E-07</c:v>
                </c:pt>
                <c:pt idx="55">
                  <c:v>8.20000000000001E-07</c:v>
                </c:pt>
                <c:pt idx="56">
                  <c:v>8.30000000000001E-07</c:v>
                </c:pt>
                <c:pt idx="57">
                  <c:v>8.40000000000001E-07</c:v>
                </c:pt>
                <c:pt idx="58">
                  <c:v>8.50000000000001E-07</c:v>
                </c:pt>
                <c:pt idx="59">
                  <c:v>8.60000000000001E-07</c:v>
                </c:pt>
                <c:pt idx="60">
                  <c:v>8.70000000000001E-07</c:v>
                </c:pt>
                <c:pt idx="61">
                  <c:v>8.80000000000001E-07</c:v>
                </c:pt>
                <c:pt idx="62">
                  <c:v>8.90000000000001E-07</c:v>
                </c:pt>
                <c:pt idx="63">
                  <c:v>9.00000000000001E-07</c:v>
                </c:pt>
                <c:pt idx="64">
                  <c:v>9.10000000000001E-07</c:v>
                </c:pt>
                <c:pt idx="65">
                  <c:v>9.20000000000001E-07</c:v>
                </c:pt>
                <c:pt idx="66">
                  <c:v>9.30000000000001E-07</c:v>
                </c:pt>
                <c:pt idx="67">
                  <c:v>9.40000000000001E-07</c:v>
                </c:pt>
                <c:pt idx="68">
                  <c:v>9.50000000000001E-07</c:v>
                </c:pt>
                <c:pt idx="69">
                  <c:v>9.60000000000001E-07</c:v>
                </c:pt>
                <c:pt idx="70">
                  <c:v>9.70000000000001E-07</c:v>
                </c:pt>
                <c:pt idx="71">
                  <c:v>9.80000000000001E-07</c:v>
                </c:pt>
                <c:pt idx="72">
                  <c:v>9.90000000000001E-07</c:v>
                </c:pt>
                <c:pt idx="73">
                  <c:v>1E-06</c:v>
                </c:pt>
                <c:pt idx="74">
                  <c:v>1.01E-06</c:v>
                </c:pt>
                <c:pt idx="75">
                  <c:v>1.02E-06</c:v>
                </c:pt>
                <c:pt idx="76">
                  <c:v>1.03E-06</c:v>
                </c:pt>
                <c:pt idx="77">
                  <c:v>1.04E-06</c:v>
                </c:pt>
                <c:pt idx="78">
                  <c:v>1.05E-06</c:v>
                </c:pt>
                <c:pt idx="79">
                  <c:v>1.06E-06</c:v>
                </c:pt>
                <c:pt idx="80">
                  <c:v>1.07E-06</c:v>
                </c:pt>
                <c:pt idx="81">
                  <c:v>1.08E-06</c:v>
                </c:pt>
                <c:pt idx="82">
                  <c:v>1.09E-06</c:v>
                </c:pt>
                <c:pt idx="83">
                  <c:v>1.1E-06</c:v>
                </c:pt>
              </c:numCache>
            </c:numRef>
          </c:xVal>
          <c:yVal>
            <c:numRef>
              <c:f>'15-BilanPhotoniqueAsteroide'!$L$3:$L$86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1157377.817974185</c:v>
                </c:pt>
                <c:pt idx="5">
                  <c:v>3517932.0895310338</c:v>
                </c:pt>
                <c:pt idx="6">
                  <c:v>7592971.377594823</c:v>
                </c:pt>
                <c:pt idx="7">
                  <c:v>12199621.348819632</c:v>
                </c:pt>
                <c:pt idx="8">
                  <c:v>18517553.56854697</c:v>
                </c:pt>
                <c:pt idx="9">
                  <c:v>26087227.962749578</c:v>
                </c:pt>
                <c:pt idx="10">
                  <c:v>34594651.88239904</c:v>
                </c:pt>
                <c:pt idx="11">
                  <c:v>44696746.12416226</c:v>
                </c:pt>
                <c:pt idx="12">
                  <c:v>56428761.5235805</c:v>
                </c:pt>
                <c:pt idx="13">
                  <c:v>69778316.76169446</c:v>
                </c:pt>
                <c:pt idx="14">
                  <c:v>84682614.58485214</c:v>
                </c:pt>
                <c:pt idx="15">
                  <c:v>101027580.93464151</c:v>
                </c:pt>
                <c:pt idx="16">
                  <c:v>118648908.11946566</c:v>
                </c:pt>
                <c:pt idx="17">
                  <c:v>137334905.26038042</c:v>
                </c:pt>
                <c:pt idx="18">
                  <c:v>155351457.20222485</c:v>
                </c:pt>
                <c:pt idx="19">
                  <c:v>173630269.0070998</c:v>
                </c:pt>
                <c:pt idx="20">
                  <c:v>191871761.13344413</c:v>
                </c:pt>
                <c:pt idx="21">
                  <c:v>208107205.21686542</c:v>
                </c:pt>
                <c:pt idx="22">
                  <c:v>223106522.9386193</c:v>
                </c:pt>
                <c:pt idx="23">
                  <c:v>237145811.6892326</c:v>
                </c:pt>
                <c:pt idx="24">
                  <c:v>251880505.43433595</c:v>
                </c:pt>
                <c:pt idx="25">
                  <c:v>262931529.13991272</c:v>
                </c:pt>
                <c:pt idx="26">
                  <c:v>272115280.81034654</c:v>
                </c:pt>
                <c:pt idx="27">
                  <c:v>279009051.0505598</c:v>
                </c:pt>
                <c:pt idx="28">
                  <c:v>284599874.61066186</c:v>
                </c:pt>
                <c:pt idx="29">
                  <c:v>288402103.75485575</c:v>
                </c:pt>
                <c:pt idx="30">
                  <c:v>291296774.22617835</c:v>
                </c:pt>
                <c:pt idx="31">
                  <c:v>293282937.31653994</c:v>
                </c:pt>
                <c:pt idx="32">
                  <c:v>294365865.5112755</c:v>
                </c:pt>
                <c:pt idx="33">
                  <c:v>294556670.1838856</c:v>
                </c:pt>
                <c:pt idx="34">
                  <c:v>296081464.93135405</c:v>
                </c:pt>
                <c:pt idx="35">
                  <c:v>296696319.2932595</c:v>
                </c:pt>
                <c:pt idx="36">
                  <c:v>296410267.8054524</c:v>
                </c:pt>
                <c:pt idx="37">
                  <c:v>295237931.4133865</c:v>
                </c:pt>
                <c:pt idx="38">
                  <c:v>293199184.81958455</c:v>
                </c:pt>
                <c:pt idx="39">
                  <c:v>290318806.694852</c:v>
                </c:pt>
                <c:pt idx="40">
                  <c:v>286626116.94519544</c:v>
                </c:pt>
                <c:pt idx="41">
                  <c:v>282154604.8324319</c:v>
                </c:pt>
                <c:pt idx="42">
                  <c:v>273248997.35580677</c:v>
                </c:pt>
                <c:pt idx="43">
                  <c:v>263895342.54385358</c:v>
                </c:pt>
                <c:pt idx="44">
                  <c:v>254153117.1590033</c:v>
                </c:pt>
                <c:pt idx="45">
                  <c:v>244081265.5691113</c:v>
                </c:pt>
                <c:pt idx="46">
                  <c:v>233737884.17895386</c:v>
                </c:pt>
                <c:pt idx="47">
                  <c:v>223179935.66447037</c:v>
                </c:pt>
                <c:pt idx="48">
                  <c:v>218205234.99001727</c:v>
                </c:pt>
                <c:pt idx="49">
                  <c:v>209815640.22053304</c:v>
                </c:pt>
                <c:pt idx="50">
                  <c:v>199788824.2317818</c:v>
                </c:pt>
                <c:pt idx="51">
                  <c:v>188396650.31644964</c:v>
                </c:pt>
                <c:pt idx="52">
                  <c:v>178194069.29459542</c:v>
                </c:pt>
                <c:pt idx="53">
                  <c:v>166871810.85901248</c:v>
                </c:pt>
                <c:pt idx="54">
                  <c:v>154642840.20642158</c:v>
                </c:pt>
                <c:pt idx="55">
                  <c:v>142828980.15396062</c:v>
                </c:pt>
                <c:pt idx="56">
                  <c:v>131454439.57484022</c:v>
                </c:pt>
                <c:pt idx="57">
                  <c:v>127055376.07596903</c:v>
                </c:pt>
                <c:pt idx="58">
                  <c:v>117642952.13343954</c:v>
                </c:pt>
                <c:pt idx="59">
                  <c:v>109891211.34605931</c:v>
                </c:pt>
                <c:pt idx="60">
                  <c:v>102204848.55639872</c:v>
                </c:pt>
                <c:pt idx="61">
                  <c:v>94616399.61444573</c:v>
                </c:pt>
                <c:pt idx="62">
                  <c:v>86625777.80420683</c:v>
                </c:pt>
                <c:pt idx="63">
                  <c:v>78895276.08863115</c:v>
                </c:pt>
                <c:pt idx="64">
                  <c:v>67549584.34806556</c:v>
                </c:pt>
                <c:pt idx="65">
                  <c:v>54228929.07492286</c:v>
                </c:pt>
                <c:pt idx="66">
                  <c:v>27532258.33296211</c:v>
                </c:pt>
                <c:pt idx="67">
                  <c:v>18208551.50424052</c:v>
                </c:pt>
                <c:pt idx="68">
                  <c:v>21228824.867100228</c:v>
                </c:pt>
                <c:pt idx="69">
                  <c:v>22983836.902056027</c:v>
                </c:pt>
                <c:pt idx="70">
                  <c:v>23631732.18017124</c:v>
                </c:pt>
                <c:pt idx="71">
                  <c:v>23330903.17712008</c:v>
                </c:pt>
                <c:pt idx="72">
                  <c:v>22239036.321632463</c:v>
                </c:pt>
                <c:pt idx="73">
                  <c:v>19144733.16758946</c:v>
                </c:pt>
                <c:pt idx="74">
                  <c:v>15375422.115055587</c:v>
                </c:pt>
                <c:pt idx="75">
                  <c:v>12038745.696913868</c:v>
                </c:pt>
                <c:pt idx="76">
                  <c:v>9129061.906311745</c:v>
                </c:pt>
                <c:pt idx="77">
                  <c:v>6797558.613776125</c:v>
                </c:pt>
                <c:pt idx="78">
                  <c:v>4670536.56738524</c:v>
                </c:pt>
                <c:pt idx="79">
                  <c:v>2955974.1692380803</c:v>
                </c:pt>
                <c:pt idx="80">
                  <c:v>1643451.700037485</c:v>
                </c:pt>
                <c:pt idx="81">
                  <c:v>721589.6099404588</c:v>
                </c:pt>
                <c:pt idx="82">
                  <c:v>165699.70158796044</c:v>
                </c:pt>
                <c:pt idx="83">
                  <c:v>0</c:v>
                </c:pt>
              </c:numCache>
            </c:numRef>
          </c:yVal>
          <c:smooth val="0"/>
        </c:ser>
        <c:axId val="30201432"/>
        <c:axId val="3377433"/>
      </c:scatterChart>
      <c:valAx>
        <c:axId val="8657902"/>
        <c:scaling>
          <c:orientation val="minMax"/>
          <c:min val="2.000000000000001E-0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2255"/>
        <c:crosses val="autoZero"/>
        <c:crossBetween val="midCat"/>
        <c:dispUnits/>
      </c:valAx>
      <c:valAx>
        <c:axId val="10812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7902"/>
        <c:crosses val="autoZero"/>
        <c:crossBetween val="midCat"/>
        <c:dispUnits/>
      </c:valAx>
      <c:valAx>
        <c:axId val="30201432"/>
        <c:scaling>
          <c:orientation val="minMax"/>
        </c:scaling>
        <c:axPos val="b"/>
        <c:delete val="1"/>
        <c:majorTickMark val="out"/>
        <c:minorTickMark val="none"/>
        <c:tickLblPos val="nextTo"/>
        <c:crossAx val="3377433"/>
        <c:crosses val="max"/>
        <c:crossBetween val="midCat"/>
        <c:dispUnits/>
      </c:valAx>
      <c:valAx>
        <c:axId val="337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43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75"/>
          <c:y val="0.4665"/>
          <c:w val="0.071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6986111111111111" right="0.6986111111111111" top="0.75" bottom="0.75" header="0.3" footer="0.3"/>
  <pageSetup horizontalDpi="30066" verticalDpi="30066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6986111111111111" right="0.6986111111111111" top="0.75" bottom="0.75" header="0.3" footer="0.3"/>
  <pageSetup horizontalDpi="30066" verticalDpi="30066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19050</xdr:rowOff>
    </xdr:from>
    <xdr:to>
      <xdr:col>7</xdr:col>
      <xdr:colOff>723900</xdr:colOff>
      <xdr:row>62</xdr:row>
      <xdr:rowOff>9525</xdr:rowOff>
    </xdr:to>
    <xdr:pic>
      <xdr:nvPicPr>
        <xdr:cNvPr id="1" name="Picture 1" descr="F:\WETO2012\9-Configurations\Fran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33700"/>
          <a:ext cx="5800725" cy="7115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91</xdr:row>
      <xdr:rowOff>57150</xdr:rowOff>
    </xdr:from>
    <xdr:to>
      <xdr:col>7</xdr:col>
      <xdr:colOff>295275</xdr:colOff>
      <xdr:row>105</xdr:row>
      <xdr:rowOff>76200</xdr:rowOff>
    </xdr:to>
    <xdr:graphicFrame>
      <xdr:nvGraphicFramePr>
        <xdr:cNvPr id="1" name="Chart 1"/>
        <xdr:cNvGraphicFramePr/>
      </xdr:nvGraphicFramePr>
      <xdr:xfrm>
        <a:off x="38100" y="14792325"/>
        <a:ext cx="57721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0"/>
        <cdr:cNvGraphicFramePr/>
      </cdr:nvGraphicFramePr>
      <cdr:xfrm>
        <a:off x="0" y="0"/>
        <a:ext cx="9401175" cy="61722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152400</xdr:rowOff>
    </xdr:from>
    <xdr:to>
      <xdr:col>7</xdr:col>
      <xdr:colOff>323850</xdr:colOff>
      <xdr:row>114</xdr:row>
      <xdr:rowOff>9525</xdr:rowOff>
    </xdr:to>
    <xdr:graphicFrame>
      <xdr:nvGraphicFramePr>
        <xdr:cNvPr id="1" name="Chart 1"/>
        <xdr:cNvGraphicFramePr/>
      </xdr:nvGraphicFramePr>
      <xdr:xfrm>
        <a:off x="0" y="16021050"/>
        <a:ext cx="5838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er\OneDrive\Documents\ConferencesAstro\ThierryConf\CoursPhotometrie\2021-2022\CoursPhotometri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Introduction"/>
      <sheetName val="1-Cste Phys"/>
      <sheetName val="2-Angles"/>
      <sheetName val="3-Energie du photon"/>
      <sheetName val="4-CN-Candela)"/>
      <sheetName val="5-Conversion-cd"/>
      <sheetName val="6-magnitude"/>
      <sheetName val="7-Conversion mag"/>
      <sheetName val="8-Addition mag"/>
    </sheetNames>
    <sheetDataSet>
      <sheetData sheetId="7">
        <row r="2">
          <cell r="C2">
            <v>2.54E-06</v>
          </cell>
        </row>
        <row r="3">
          <cell r="C3">
            <v>1.0111922132058828E-06</v>
          </cell>
        </row>
        <row r="4">
          <cell r="C4">
            <v>4.0256287088512265E-07</v>
          </cell>
        </row>
        <row r="5">
          <cell r="C5">
            <v>1.6026316549796898E-07</v>
          </cell>
        </row>
        <row r="6">
          <cell r="C6">
            <v>6.380191536034327E-08</v>
          </cell>
        </row>
        <row r="7">
          <cell r="C7">
            <v>2.5399999999999973E-08</v>
          </cell>
        </row>
        <row r="8">
          <cell r="C8">
            <v>1.0111922132058817E-08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11.00390625" style="0" customWidth="1"/>
    <col min="2" max="2" width="26.7109375" style="0" customWidth="1"/>
    <col min="3" max="3" width="57.140625" style="0" customWidth="1"/>
  </cols>
  <sheetData>
    <row r="1" ht="12.75">
      <c r="A1" s="2" t="s">
        <v>0</v>
      </c>
    </row>
    <row r="2" spans="1:3" ht="12.75">
      <c r="A2" t="s">
        <v>1</v>
      </c>
      <c r="B2" s="5">
        <v>44713</v>
      </c>
      <c r="C2" t="s">
        <v>2</v>
      </c>
    </row>
    <row r="3" spans="1:2" ht="12.75">
      <c r="A3">
        <v>20210619</v>
      </c>
      <c r="B3" t="s">
        <v>3</v>
      </c>
    </row>
    <row r="4" spans="1:2" ht="12.75">
      <c r="A4" s="2" t="s">
        <v>4</v>
      </c>
      <c r="B4" s="2" t="s">
        <v>5</v>
      </c>
    </row>
    <row r="5" spans="1:2" ht="12.75">
      <c r="A5" t="s">
        <v>6</v>
      </c>
      <c r="B5" t="s">
        <v>7</v>
      </c>
    </row>
    <row r="6" spans="1:3" ht="12.75">
      <c r="A6" t="s">
        <v>8</v>
      </c>
      <c r="B6" t="s">
        <v>9</v>
      </c>
      <c r="C6" t="s">
        <v>10</v>
      </c>
    </row>
    <row r="7" spans="1:3" ht="12.75">
      <c r="A7" t="s">
        <v>11</v>
      </c>
      <c r="B7" t="s">
        <v>12</v>
      </c>
      <c r="C7" t="s">
        <v>13</v>
      </c>
    </row>
    <row r="8" spans="1:3" ht="12.75">
      <c r="A8" t="s">
        <v>14</v>
      </c>
      <c r="B8" t="s">
        <v>15</v>
      </c>
      <c r="C8" t="s">
        <v>16</v>
      </c>
    </row>
    <row r="9" spans="1:3" ht="12.75">
      <c r="A9" t="s">
        <v>17</v>
      </c>
      <c r="B9" t="s">
        <v>18</v>
      </c>
      <c r="C9" t="s">
        <v>19</v>
      </c>
    </row>
    <row r="10" spans="1:3" ht="12.75">
      <c r="A10" t="s">
        <v>20</v>
      </c>
      <c r="B10" t="s">
        <v>21</v>
      </c>
      <c r="C10" t="s">
        <v>22</v>
      </c>
    </row>
    <row r="11" spans="1:3" ht="12.75">
      <c r="A11" t="s">
        <v>23</v>
      </c>
      <c r="B11" t="s">
        <v>24</v>
      </c>
      <c r="C11" t="s">
        <v>25</v>
      </c>
    </row>
    <row r="12" spans="1:2" ht="12.75">
      <c r="A12" t="s">
        <v>26</v>
      </c>
      <c r="B12" t="s">
        <v>27</v>
      </c>
    </row>
    <row r="13" spans="1:2" ht="12.75">
      <c r="A13" t="s">
        <v>28</v>
      </c>
      <c r="B13" t="s">
        <v>29</v>
      </c>
    </row>
    <row r="14" spans="1:4" ht="12.75">
      <c r="A14" t="s">
        <v>30</v>
      </c>
      <c r="B14" t="s">
        <v>31</v>
      </c>
      <c r="C14" t="s">
        <v>32</v>
      </c>
      <c r="D14" t="s">
        <v>33</v>
      </c>
    </row>
    <row r="15" spans="1:3" ht="12.75">
      <c r="A15" t="s">
        <v>34</v>
      </c>
      <c r="C15" t="s">
        <v>35</v>
      </c>
    </row>
    <row r="16" spans="1:3" ht="12.75">
      <c r="A16" t="s">
        <v>36</v>
      </c>
      <c r="C16" t="s">
        <v>37</v>
      </c>
    </row>
    <row r="17" spans="1:3" ht="12.75">
      <c r="A17" t="s">
        <v>38</v>
      </c>
      <c r="C17" t="s">
        <v>39</v>
      </c>
    </row>
    <row r="18" spans="1:3" ht="12.75">
      <c r="A18" t="s">
        <v>40</v>
      </c>
      <c r="C18" t="s">
        <v>41</v>
      </c>
    </row>
    <row r="19" spans="1:3" ht="12.75">
      <c r="A19" t="s">
        <v>42</v>
      </c>
      <c r="B19" t="s">
        <v>43</v>
      </c>
      <c r="C19" t="s">
        <v>44</v>
      </c>
    </row>
    <row r="20" spans="1:3" ht="12.75">
      <c r="A20" t="s">
        <v>45</v>
      </c>
      <c r="B20" t="s">
        <v>46</v>
      </c>
      <c r="C20" t="s">
        <v>47</v>
      </c>
    </row>
    <row r="21" spans="1:3" ht="12.75">
      <c r="A21" t="s">
        <v>48</v>
      </c>
      <c r="C21" t="s">
        <v>49</v>
      </c>
    </row>
    <row r="22" spans="1:3" ht="12.75">
      <c r="A22" t="s">
        <v>50</v>
      </c>
      <c r="B22" t="s">
        <v>51</v>
      </c>
      <c r="C22" t="s">
        <v>52</v>
      </c>
    </row>
    <row r="23" spans="1:3" ht="12.75">
      <c r="A23" t="s">
        <v>53</v>
      </c>
      <c r="C23" t="s">
        <v>54</v>
      </c>
    </row>
    <row r="24" spans="1:3" ht="12.75">
      <c r="A24" t="s">
        <v>55</v>
      </c>
      <c r="C24" t="s">
        <v>56</v>
      </c>
    </row>
    <row r="25" spans="1:3" ht="12.75">
      <c r="A25" t="s">
        <v>57</v>
      </c>
      <c r="B25" t="s">
        <v>58</v>
      </c>
      <c r="C25" t="s">
        <v>59</v>
      </c>
    </row>
    <row r="26" spans="1:3" ht="12.75">
      <c r="A26" t="s">
        <v>60</v>
      </c>
      <c r="C26" t="s">
        <v>61</v>
      </c>
    </row>
    <row r="27" spans="1:3" ht="12.75">
      <c r="A27" t="s">
        <v>62</v>
      </c>
      <c r="C27" t="s">
        <v>63</v>
      </c>
    </row>
    <row r="28" spans="1:3" ht="12.75">
      <c r="A28" t="s">
        <v>64</v>
      </c>
      <c r="C28" t="s">
        <v>65</v>
      </c>
    </row>
    <row r="29" spans="1:3" ht="12.75">
      <c r="A29" t="s">
        <v>66</v>
      </c>
      <c r="B29" t="s">
        <v>67</v>
      </c>
      <c r="C29" t="s">
        <v>68</v>
      </c>
    </row>
    <row r="30" spans="1:3" ht="12.75">
      <c r="A30" t="s">
        <v>69</v>
      </c>
      <c r="B30" t="s">
        <v>70</v>
      </c>
      <c r="C30" t="s">
        <v>59</v>
      </c>
    </row>
    <row r="31" spans="1:3" ht="12.75">
      <c r="A31" t="s">
        <v>71</v>
      </c>
      <c r="B31" t="s">
        <v>72</v>
      </c>
      <c r="C31" t="s">
        <v>73</v>
      </c>
    </row>
    <row r="32" spans="1:3" ht="12.75">
      <c r="A32" t="s">
        <v>74</v>
      </c>
      <c r="B32" t="s">
        <v>75</v>
      </c>
      <c r="C32" t="s">
        <v>76</v>
      </c>
    </row>
    <row r="33" spans="1:3" ht="12.75">
      <c r="A33" t="s">
        <v>77</v>
      </c>
      <c r="C33" t="s">
        <v>78</v>
      </c>
    </row>
    <row r="34" spans="1:3" ht="12.75">
      <c r="A34" t="s">
        <v>79</v>
      </c>
      <c r="C34" t="s">
        <v>80</v>
      </c>
    </row>
    <row r="35" spans="1:3" ht="12.75">
      <c r="A35" t="s">
        <v>81</v>
      </c>
      <c r="C35" t="s">
        <v>82</v>
      </c>
    </row>
    <row r="36" spans="1:3" ht="12.75">
      <c r="A36" t="s">
        <v>83</v>
      </c>
      <c r="C36" t="s">
        <v>84</v>
      </c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Q37" sqref="Q37"/>
    </sheetView>
  </sheetViews>
  <sheetFormatPr defaultColWidth="11.00390625" defaultRowHeight="12.75"/>
  <cols>
    <col min="1" max="1" width="24.8515625" style="2" customWidth="1"/>
    <col min="2" max="11" width="6.140625" style="0" customWidth="1"/>
  </cols>
  <sheetData>
    <row r="1" ht="12.75">
      <c r="A1" s="2" t="s">
        <v>267</v>
      </c>
    </row>
    <row r="2" spans="2:11" ht="12.75"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</row>
    <row r="3" spans="1:2" ht="12.75">
      <c r="A3" s="2" t="s">
        <v>268</v>
      </c>
      <c r="B3">
        <v>30000</v>
      </c>
    </row>
    <row r="4" spans="1:11" ht="12.75">
      <c r="A4" s="2" t="s">
        <v>269</v>
      </c>
      <c r="B4">
        <v>50000</v>
      </c>
      <c r="G4">
        <v>44500</v>
      </c>
      <c r="H4">
        <v>41000</v>
      </c>
      <c r="I4">
        <v>38000</v>
      </c>
      <c r="J4">
        <v>35800</v>
      </c>
      <c r="K4">
        <v>33000</v>
      </c>
    </row>
    <row r="5" spans="1:11" ht="12.75">
      <c r="A5" s="2" t="s">
        <v>207</v>
      </c>
      <c r="B5">
        <v>30000</v>
      </c>
      <c r="C5">
        <v>25400</v>
      </c>
      <c r="D5">
        <v>22000</v>
      </c>
      <c r="E5">
        <v>18700</v>
      </c>
      <c r="G5">
        <v>15400</v>
      </c>
      <c r="H5">
        <v>14000</v>
      </c>
      <c r="I5">
        <v>13000</v>
      </c>
      <c r="J5">
        <v>11900</v>
      </c>
      <c r="K5">
        <v>10500</v>
      </c>
    </row>
    <row r="6" spans="1:10" ht="12.75">
      <c r="A6" s="2" t="s">
        <v>270</v>
      </c>
      <c r="B6">
        <v>9520</v>
      </c>
      <c r="C6">
        <v>9230</v>
      </c>
      <c r="D6">
        <v>8970</v>
      </c>
      <c r="E6">
        <v>8720</v>
      </c>
      <c r="G6">
        <v>8200</v>
      </c>
      <c r="I6">
        <v>7850</v>
      </c>
      <c r="J6">
        <v>7580</v>
      </c>
    </row>
    <row r="7" spans="1:10" ht="12.75">
      <c r="A7" s="2" t="s">
        <v>168</v>
      </c>
      <c r="B7">
        <v>7200</v>
      </c>
      <c r="D7">
        <v>6890</v>
      </c>
      <c r="G7">
        <v>6440</v>
      </c>
      <c r="J7">
        <v>6200</v>
      </c>
    </row>
    <row r="8" spans="1:10" ht="12.75">
      <c r="A8" s="2" t="s">
        <v>132</v>
      </c>
      <c r="B8">
        <v>6030</v>
      </c>
      <c r="D8">
        <v>5860</v>
      </c>
      <c r="G8">
        <v>5770</v>
      </c>
      <c r="J8">
        <v>5570</v>
      </c>
    </row>
    <row r="9" spans="1:9" ht="12.75">
      <c r="A9" s="2" t="s">
        <v>212</v>
      </c>
      <c r="B9">
        <v>5250</v>
      </c>
      <c r="C9">
        <v>5080</v>
      </c>
      <c r="D9">
        <v>4900</v>
      </c>
      <c r="E9">
        <v>4730</v>
      </c>
      <c r="F9">
        <v>4590</v>
      </c>
      <c r="G9">
        <v>4350</v>
      </c>
      <c r="I9">
        <v>4060</v>
      </c>
    </row>
    <row r="10" spans="1:11" ht="12.75">
      <c r="A10" s="2" t="s">
        <v>214</v>
      </c>
      <c r="B10">
        <v>3850</v>
      </c>
      <c r="C10">
        <v>3720</v>
      </c>
      <c r="D10">
        <v>3580</v>
      </c>
      <c r="E10">
        <v>3470</v>
      </c>
      <c r="F10">
        <v>3370</v>
      </c>
      <c r="G10">
        <v>3240</v>
      </c>
      <c r="H10">
        <v>3050</v>
      </c>
      <c r="I10">
        <v>2940</v>
      </c>
      <c r="J10">
        <v>2640</v>
      </c>
      <c r="K10">
        <v>2500</v>
      </c>
    </row>
    <row r="11" spans="1:2" ht="12.75">
      <c r="A11" s="2" t="s">
        <v>271</v>
      </c>
      <c r="B11">
        <v>2000</v>
      </c>
    </row>
    <row r="12" spans="1:2" ht="12.75">
      <c r="A12" s="2" t="s">
        <v>272</v>
      </c>
      <c r="B12">
        <v>3000</v>
      </c>
    </row>
    <row r="13" spans="1:2" ht="12.75">
      <c r="A13" s="2" t="s">
        <v>210</v>
      </c>
      <c r="B13">
        <v>1500</v>
      </c>
    </row>
    <row r="15" spans="1:6" s="2" customFormat="1" ht="12.75">
      <c r="A15" s="2" t="s">
        <v>273</v>
      </c>
      <c r="B15" s="2" t="s">
        <v>274</v>
      </c>
      <c r="C15" s="2" t="s">
        <v>275</v>
      </c>
      <c r="D15" s="2" t="s">
        <v>276</v>
      </c>
      <c r="E15" s="2" t="s">
        <v>277</v>
      </c>
      <c r="F15" s="2" t="s">
        <v>278</v>
      </c>
    </row>
    <row r="16" spans="1:3" ht="12.75">
      <c r="A16" s="2" t="s">
        <v>279</v>
      </c>
      <c r="B16">
        <v>-1.33</v>
      </c>
      <c r="C16">
        <v>-0.46</v>
      </c>
    </row>
    <row r="17" spans="1:4" ht="12.75">
      <c r="A17" s="2" t="s">
        <v>280</v>
      </c>
      <c r="B17">
        <v>-1.19</v>
      </c>
      <c r="C17">
        <v>-0.33</v>
      </c>
      <c r="D17">
        <v>-0.15</v>
      </c>
    </row>
    <row r="18" spans="1:3" ht="12.75">
      <c r="A18" s="2" t="s">
        <v>281</v>
      </c>
      <c r="B18">
        <v>-1.17</v>
      </c>
      <c r="C18">
        <v>-0.33</v>
      </c>
    </row>
    <row r="19" spans="1:3" ht="12.75">
      <c r="A19" s="2" t="s">
        <v>282</v>
      </c>
      <c r="B19">
        <v>-1.15</v>
      </c>
      <c r="C19">
        <v>-0.32</v>
      </c>
    </row>
    <row r="20" spans="1:3" ht="12.75">
      <c r="A20" s="2" t="s">
        <v>283</v>
      </c>
      <c r="B20">
        <v>-1.14</v>
      </c>
      <c r="C20">
        <v>-0.32</v>
      </c>
    </row>
    <row r="21" spans="1:4" ht="12.75">
      <c r="A21" s="2" t="s">
        <v>284</v>
      </c>
      <c r="B21">
        <v>-1.12</v>
      </c>
      <c r="C21">
        <v>-0.31</v>
      </c>
      <c r="D21">
        <v>-0.15</v>
      </c>
    </row>
    <row r="22" spans="1:5" ht="12.75">
      <c r="A22" s="2" t="s">
        <v>285</v>
      </c>
      <c r="B22">
        <v>-1.08</v>
      </c>
      <c r="C22">
        <v>-0.3</v>
      </c>
      <c r="D22">
        <v>-0.13</v>
      </c>
      <c r="E22">
        <v>-0.42</v>
      </c>
    </row>
    <row r="23" spans="1:3" ht="12.75">
      <c r="A23" s="2" t="s">
        <v>286</v>
      </c>
      <c r="B23">
        <v>-0.95</v>
      </c>
      <c r="C23">
        <v>-0.26</v>
      </c>
    </row>
    <row r="24" spans="1:4" ht="12.75">
      <c r="A24" s="2" t="s">
        <v>287</v>
      </c>
      <c r="B24">
        <v>-0.84</v>
      </c>
      <c r="C24">
        <v>-0.24</v>
      </c>
      <c r="D24">
        <v>-0.1</v>
      </c>
    </row>
    <row r="25" spans="1:3" ht="12.75">
      <c r="A25" s="2" t="s">
        <v>288</v>
      </c>
      <c r="B25">
        <v>-0.71</v>
      </c>
      <c r="C25">
        <v>-0.2</v>
      </c>
    </row>
    <row r="26" spans="1:4" ht="12.75">
      <c r="A26" s="2" t="s">
        <v>289</v>
      </c>
      <c r="B26">
        <v>-0.58</v>
      </c>
      <c r="C26">
        <v>-0.17</v>
      </c>
      <c r="D26">
        <v>-0.06</v>
      </c>
    </row>
    <row r="27" spans="1:4" ht="12.75">
      <c r="A27" s="2" t="s">
        <v>290</v>
      </c>
      <c r="B27">
        <v>-0.5</v>
      </c>
      <c r="C27">
        <v>-0.15</v>
      </c>
      <c r="D27">
        <v>-0.02</v>
      </c>
    </row>
    <row r="28" spans="1:3" ht="12.75">
      <c r="A28" s="2" t="s">
        <v>291</v>
      </c>
      <c r="B28">
        <v>-0.43</v>
      </c>
      <c r="C28">
        <v>-0.13</v>
      </c>
    </row>
    <row r="29" spans="1:3" ht="12.75">
      <c r="A29" s="2" t="s">
        <v>292</v>
      </c>
      <c r="B29">
        <v>-0.34</v>
      </c>
      <c r="C29">
        <v>-0.11</v>
      </c>
    </row>
    <row r="30" spans="1:3" ht="12.75">
      <c r="A30" s="2" t="s">
        <v>293</v>
      </c>
      <c r="B30">
        <v>-0.2</v>
      </c>
      <c r="C30">
        <v>-0.07</v>
      </c>
    </row>
    <row r="31" spans="1:6" ht="12.75">
      <c r="A31" s="2" t="s">
        <v>294</v>
      </c>
      <c r="B31">
        <v>-0.02</v>
      </c>
      <c r="C31">
        <v>-0.02</v>
      </c>
      <c r="D31">
        <v>0.02</v>
      </c>
      <c r="E31">
        <v>0</v>
      </c>
      <c r="F31">
        <v>0</v>
      </c>
    </row>
    <row r="32" spans="1:4" ht="12.75">
      <c r="A32" s="2" t="s">
        <v>295</v>
      </c>
      <c r="B32">
        <v>0.05</v>
      </c>
      <c r="C32">
        <v>0.05</v>
      </c>
      <c r="D32">
        <v>0.08</v>
      </c>
    </row>
    <row r="33" spans="1:4" ht="12.75">
      <c r="A33" s="2" t="s">
        <v>296</v>
      </c>
      <c r="B33">
        <v>0.1</v>
      </c>
      <c r="C33">
        <v>0.15</v>
      </c>
      <c r="D33">
        <v>0.16</v>
      </c>
    </row>
    <row r="34" spans="1:6" ht="12.75">
      <c r="A34" s="2" t="s">
        <v>297</v>
      </c>
      <c r="B34">
        <v>0.03</v>
      </c>
      <c r="C34">
        <v>0.3</v>
      </c>
      <c r="D34">
        <v>0.3</v>
      </c>
      <c r="E34">
        <v>0.47</v>
      </c>
      <c r="F34">
        <v>0.55</v>
      </c>
    </row>
    <row r="35" spans="1:4" ht="12.75">
      <c r="A35" s="2" t="s">
        <v>298</v>
      </c>
      <c r="B35">
        <v>0</v>
      </c>
      <c r="C35">
        <v>0.35</v>
      </c>
      <c r="D35">
        <v>0.35</v>
      </c>
    </row>
    <row r="36" spans="1:4" ht="12.75">
      <c r="A36" s="2" t="s">
        <v>299</v>
      </c>
      <c r="B36">
        <v>-0.02</v>
      </c>
      <c r="C36">
        <v>0.44</v>
      </c>
      <c r="D36">
        <v>0.4</v>
      </c>
    </row>
    <row r="37" spans="1:4" ht="12.75">
      <c r="A37" s="2" t="s">
        <v>300</v>
      </c>
      <c r="B37">
        <v>0.02</v>
      </c>
      <c r="C37">
        <v>0.52</v>
      </c>
      <c r="D37">
        <v>0.47</v>
      </c>
    </row>
    <row r="38" spans="1:6" ht="12.75">
      <c r="A38" s="2" t="s">
        <v>301</v>
      </c>
      <c r="B38">
        <v>0.06</v>
      </c>
      <c r="C38">
        <v>0.58</v>
      </c>
      <c r="D38">
        <v>0.5</v>
      </c>
      <c r="E38">
        <v>0.93</v>
      </c>
      <c r="F38">
        <v>1.02</v>
      </c>
    </row>
    <row r="39" spans="1:4" ht="12.75">
      <c r="A39" s="2" t="s">
        <v>302</v>
      </c>
      <c r="B39">
        <v>0.12</v>
      </c>
      <c r="C39">
        <v>0.63</v>
      </c>
      <c r="D39">
        <v>0.53</v>
      </c>
    </row>
    <row r="40" spans="1:4" ht="12.75">
      <c r="A40" s="2" t="s">
        <v>303</v>
      </c>
      <c r="B40">
        <v>0.2</v>
      </c>
      <c r="C40">
        <v>0.68</v>
      </c>
      <c r="D40">
        <v>0.54</v>
      </c>
    </row>
    <row r="41" spans="1:4" ht="12.75">
      <c r="A41" s="2" t="s">
        <v>304</v>
      </c>
      <c r="B41">
        <v>0.3</v>
      </c>
      <c r="C41">
        <v>0.74</v>
      </c>
      <c r="D41">
        <v>0.3</v>
      </c>
    </row>
    <row r="42" spans="1:6" ht="12.75">
      <c r="A42" s="2" t="s">
        <v>305</v>
      </c>
      <c r="B42">
        <v>0.45</v>
      </c>
      <c r="C42">
        <v>0.81</v>
      </c>
      <c r="D42">
        <v>0.64</v>
      </c>
      <c r="E42">
        <v>1.4</v>
      </c>
      <c r="F42">
        <v>1.5</v>
      </c>
    </row>
    <row r="43" spans="1:4" ht="12.75">
      <c r="A43" s="2" t="s">
        <v>306</v>
      </c>
      <c r="B43">
        <v>1.08</v>
      </c>
      <c r="C43">
        <v>1.15</v>
      </c>
      <c r="D43">
        <v>0.99</v>
      </c>
    </row>
    <row r="44" spans="1:6" ht="12.75">
      <c r="A44" s="2" t="s">
        <v>307</v>
      </c>
      <c r="B44">
        <v>1.22</v>
      </c>
      <c r="C44">
        <v>1.4</v>
      </c>
      <c r="D44">
        <v>1.28</v>
      </c>
      <c r="E44">
        <v>2.2</v>
      </c>
      <c r="F44">
        <v>2.3</v>
      </c>
    </row>
    <row r="45" spans="1:5" ht="12.75">
      <c r="A45" s="2" t="s">
        <v>308</v>
      </c>
      <c r="B45">
        <v>1.24</v>
      </c>
      <c r="C45">
        <v>1.64</v>
      </c>
      <c r="D45">
        <v>1.24</v>
      </c>
      <c r="E45">
        <v>2.8</v>
      </c>
    </row>
  </sheetData>
  <sheetProtection/>
  <printOptions/>
  <pageMargins left="0.7868055555555555" right="0.7868055555555555" top="0.9840277777777777" bottom="0.9840277777777777" header="0.49166666666666664" footer="0.49166666666666664"/>
  <pageSetup horizontalDpi="30066" verticalDpi="30066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M45" sqref="M45"/>
    </sheetView>
  </sheetViews>
  <sheetFormatPr defaultColWidth="10.00390625" defaultRowHeight="12.75"/>
  <sheetData>
    <row r="1" spans="1:7" ht="12.75">
      <c r="A1" t="s">
        <v>309</v>
      </c>
      <c r="B1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</row>
    <row r="2" spans="1:5" ht="12.75">
      <c r="A2" t="s">
        <v>316</v>
      </c>
      <c r="E2">
        <f>732/PI()</f>
        <v>233.00283668653478</v>
      </c>
    </row>
    <row r="3" spans="1:5" ht="12.75">
      <c r="A3" t="s">
        <v>317</v>
      </c>
      <c r="E3">
        <f>3.4/PI()</f>
        <v>1.0822536130248883</v>
      </c>
    </row>
    <row r="4" spans="1:5" ht="12.75">
      <c r="A4" t="s">
        <v>318</v>
      </c>
      <c r="E4">
        <f>0.00831/PI()</f>
        <v>0.0026451551541873007</v>
      </c>
    </row>
    <row r="5" spans="1:5" ht="12.75">
      <c r="A5" t="s">
        <v>319</v>
      </c>
      <c r="E5">
        <f>0.000651/PI()</f>
        <v>0.00020721973590564772</v>
      </c>
    </row>
    <row r="6" spans="1:7" ht="12.75">
      <c r="A6" t="s">
        <v>320</v>
      </c>
      <c r="E6">
        <f>0.002/PI()</f>
        <v>0.0006366197723675814</v>
      </c>
      <c r="G6" s="1">
        <f>1000000000/PI()</f>
        <v>318309886.1837907</v>
      </c>
    </row>
    <row r="7" spans="1:7" ht="12.75">
      <c r="A7" t="s">
        <v>321</v>
      </c>
      <c r="B7" t="s">
        <v>208</v>
      </c>
      <c r="C7" s="1">
        <v>5E-07</v>
      </c>
      <c r="D7" s="1">
        <v>6E-07</v>
      </c>
      <c r="E7">
        <f>0.0008/PI()</f>
        <v>0.00025464790894703254</v>
      </c>
      <c r="G7" s="1">
        <f>30000000000000000000/PI()/10000000</f>
        <v>954929658551.372</v>
      </c>
    </row>
    <row r="8" spans="3:7" ht="12.75">
      <c r="C8" s="1">
        <v>9.500000000000001E-07</v>
      </c>
      <c r="D8" s="1">
        <v>1.05E-06</v>
      </c>
      <c r="G8" s="1">
        <f>100000000000000000000/PI()*0.0000001</f>
        <v>3183098861837.9067</v>
      </c>
    </row>
    <row r="9" spans="1:5" ht="12.75">
      <c r="A9" t="s">
        <v>322</v>
      </c>
      <c r="E9">
        <f>0.0007/PI()</f>
        <v>0.00022281692032865349</v>
      </c>
    </row>
    <row r="10" spans="1:6" ht="12.75">
      <c r="A10" t="s">
        <v>323</v>
      </c>
      <c r="B10" t="s">
        <v>208</v>
      </c>
      <c r="E10" s="1">
        <f>0.00000254/(PI()/180/3600)^2</f>
        <v>108064.73255222657</v>
      </c>
      <c r="F10">
        <f>E10/683</f>
        <v>158.2206918773449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6" sqref="C6"/>
    </sheetView>
  </sheetViews>
  <sheetFormatPr defaultColWidth="11.00390625" defaultRowHeight="12.75"/>
  <sheetData>
    <row r="1" spans="3:8" ht="12.75">
      <c r="C1" s="50" t="s">
        <v>324</v>
      </c>
      <c r="D1" s="50"/>
      <c r="E1" s="50" t="s">
        <v>325</v>
      </c>
      <c r="F1" s="50"/>
      <c r="G1" s="50" t="s">
        <v>326</v>
      </c>
      <c r="H1" s="50"/>
    </row>
    <row r="2" spans="1:8" ht="12.75">
      <c r="A2" s="51" t="s">
        <v>327</v>
      </c>
      <c r="B2" s="10" t="s">
        <v>328</v>
      </c>
      <c r="C2" s="11">
        <v>861000</v>
      </c>
      <c r="D2" s="1">
        <v>9470000</v>
      </c>
      <c r="E2" s="12">
        <v>2.5</v>
      </c>
      <c r="F2">
        <v>27.7</v>
      </c>
      <c r="G2" s="13">
        <f aca="true" t="shared" si="0" ref="G2:H7">(LOG10(E2*0.000001*(PI()/(180*3600))^2)-LOG10(0.00000265))*(-2.5)</f>
        <v>26.635390329044224</v>
      </c>
      <c r="H2" s="14">
        <f t="shared" si="0"/>
        <v>24.024040928063197</v>
      </c>
    </row>
    <row r="3" spans="1:8" ht="12.75">
      <c r="A3" s="52"/>
      <c r="B3" s="15" t="s">
        <v>329</v>
      </c>
      <c r="C3" s="1">
        <v>9470000</v>
      </c>
      <c r="D3" s="1">
        <v>28400000</v>
      </c>
      <c r="E3">
        <v>27.7</v>
      </c>
      <c r="F3">
        <v>83.2</v>
      </c>
      <c r="G3" s="6">
        <f t="shared" si="0"/>
        <v>24.024040928063197</v>
      </c>
      <c r="H3" s="16">
        <f t="shared" si="0"/>
        <v>22.829932034997505</v>
      </c>
    </row>
    <row r="4" spans="1:8" ht="12.75">
      <c r="A4" s="52"/>
      <c r="B4" s="17" t="s">
        <v>330</v>
      </c>
      <c r="C4" s="1">
        <v>28400000</v>
      </c>
      <c r="D4" s="3">
        <v>86100000</v>
      </c>
      <c r="E4">
        <v>83.2</v>
      </c>
      <c r="F4" s="2">
        <v>252</v>
      </c>
      <c r="G4" s="6">
        <f t="shared" si="0"/>
        <v>22.829932034997505</v>
      </c>
      <c r="H4" s="18">
        <f t="shared" si="0"/>
        <v>21.626738998770456</v>
      </c>
    </row>
    <row r="5" spans="1:8" ht="12.75">
      <c r="A5" s="52"/>
      <c r="B5" s="19" t="s">
        <v>331</v>
      </c>
      <c r="C5" s="1">
        <v>86100000</v>
      </c>
      <c r="D5" s="1">
        <v>258000000</v>
      </c>
      <c r="E5">
        <v>252</v>
      </c>
      <c r="F5">
        <v>756</v>
      </c>
      <c r="G5" s="6">
        <f t="shared" si="0"/>
        <v>21.626738998770456</v>
      </c>
      <c r="H5" s="16">
        <f t="shared" si="0"/>
        <v>20.4339358619713</v>
      </c>
    </row>
    <row r="6" spans="1:8" ht="12.75">
      <c r="A6" s="52"/>
      <c r="B6" s="20" t="s">
        <v>332</v>
      </c>
      <c r="C6" s="1">
        <v>258000000</v>
      </c>
      <c r="D6" s="1">
        <v>775000000</v>
      </c>
      <c r="E6">
        <v>756</v>
      </c>
      <c r="F6">
        <v>2268</v>
      </c>
      <c r="G6" s="6">
        <f t="shared" si="0"/>
        <v>20.4339358619713</v>
      </c>
      <c r="H6" s="16">
        <f t="shared" si="0"/>
        <v>19.241132725172147</v>
      </c>
    </row>
    <row r="7" spans="1:8" ht="12.75">
      <c r="A7" s="52"/>
      <c r="B7" s="21" t="s">
        <v>333</v>
      </c>
      <c r="C7" s="1">
        <v>775000000</v>
      </c>
      <c r="D7" s="1">
        <v>2320000000</v>
      </c>
      <c r="E7">
        <v>2268</v>
      </c>
      <c r="F7">
        <v>6804</v>
      </c>
      <c r="G7" s="6">
        <f t="shared" si="0"/>
        <v>19.241132725172147</v>
      </c>
      <c r="H7" s="16">
        <f t="shared" si="0"/>
        <v>18.04832958837299</v>
      </c>
    </row>
    <row r="8" spans="1:8" ht="12.75">
      <c r="A8" s="53"/>
      <c r="B8" s="22" t="s">
        <v>334</v>
      </c>
      <c r="C8" s="23">
        <v>2320000000</v>
      </c>
      <c r="D8" s="22"/>
      <c r="E8" s="22">
        <v>6804</v>
      </c>
      <c r="F8" s="22"/>
      <c r="G8" s="24">
        <f>(LOG10(E8*0.000001*(PI()/(180*3600))^2)-LOG10(0.00000265))*(-2.5)</f>
        <v>18.04832958837299</v>
      </c>
      <c r="H8" s="25"/>
    </row>
    <row r="9" ht="12.75">
      <c r="A9" s="51" t="s">
        <v>335</v>
      </c>
    </row>
    <row r="10" spans="1:8" ht="12.75">
      <c r="A10" s="52"/>
      <c r="D10" s="3">
        <v>86100000</v>
      </c>
      <c r="F10" s="2">
        <v>252</v>
      </c>
      <c r="H10" s="2">
        <v>21.6</v>
      </c>
    </row>
    <row r="11" ht="12.75">
      <c r="A11" s="52"/>
    </row>
    <row r="12" spans="1:8" ht="12.75">
      <c r="A12" s="51" t="s">
        <v>336</v>
      </c>
      <c r="B12" s="10" t="s">
        <v>328</v>
      </c>
      <c r="C12" s="11">
        <f aca="true" t="shared" si="1" ref="C12:D18">C2+$D$10</f>
        <v>86961000</v>
      </c>
      <c r="D12" s="11">
        <f t="shared" si="1"/>
        <v>95570000</v>
      </c>
      <c r="E12" s="12">
        <f aca="true" t="shared" si="2" ref="E12:F18">E2+$F$10</f>
        <v>254.5</v>
      </c>
      <c r="F12" s="12">
        <f t="shared" si="2"/>
        <v>279.7</v>
      </c>
      <c r="G12" s="13">
        <f aca="true" t="shared" si="3" ref="G12:H17">(LOG10(E12*0.000001*(PI()/(180*3600))^2)-LOG10(0.00000265))*(-2.5)</f>
        <v>21.61602088404237</v>
      </c>
      <c r="H12" s="14">
        <f t="shared" si="3"/>
        <v>21.513509184795502</v>
      </c>
    </row>
    <row r="13" spans="1:8" ht="12.75">
      <c r="A13" s="52"/>
      <c r="B13" s="15" t="s">
        <v>329</v>
      </c>
      <c r="C13" s="1">
        <f t="shared" si="1"/>
        <v>95570000</v>
      </c>
      <c r="D13" s="1">
        <f t="shared" si="1"/>
        <v>114500000</v>
      </c>
      <c r="E13">
        <f t="shared" si="2"/>
        <v>279.7</v>
      </c>
      <c r="F13">
        <f t="shared" si="2"/>
        <v>335.2</v>
      </c>
      <c r="G13" s="6">
        <f t="shared" si="3"/>
        <v>21.513509184795502</v>
      </c>
      <c r="H13" s="16">
        <f t="shared" si="3"/>
        <v>21.316980325828716</v>
      </c>
    </row>
    <row r="14" spans="1:8" ht="12.75">
      <c r="A14" s="52"/>
      <c r="B14" s="17" t="s">
        <v>330</v>
      </c>
      <c r="C14" s="1">
        <f t="shared" si="1"/>
        <v>114500000</v>
      </c>
      <c r="D14" s="1">
        <f t="shared" si="1"/>
        <v>172200000</v>
      </c>
      <c r="E14">
        <f t="shared" si="2"/>
        <v>335.2</v>
      </c>
      <c r="F14">
        <f t="shared" si="2"/>
        <v>504</v>
      </c>
      <c r="G14" s="6">
        <f t="shared" si="3"/>
        <v>21.316980325828716</v>
      </c>
      <c r="H14" s="16">
        <f t="shared" si="3"/>
        <v>20.874164009610503</v>
      </c>
    </row>
    <row r="15" spans="1:8" ht="12.75">
      <c r="A15" s="52"/>
      <c r="B15" s="19" t="s">
        <v>331</v>
      </c>
      <c r="C15" s="1">
        <f t="shared" si="1"/>
        <v>172200000</v>
      </c>
      <c r="D15" s="1">
        <f t="shared" si="1"/>
        <v>344100000</v>
      </c>
      <c r="E15">
        <f t="shared" si="2"/>
        <v>504</v>
      </c>
      <c r="F15">
        <f t="shared" si="2"/>
        <v>1008</v>
      </c>
      <c r="G15" s="6">
        <f t="shared" si="3"/>
        <v>20.874164009610503</v>
      </c>
      <c r="H15" s="16">
        <f t="shared" si="3"/>
        <v>20.12158902045055</v>
      </c>
    </row>
    <row r="16" spans="1:8" ht="12.75">
      <c r="A16" s="52"/>
      <c r="B16" s="20" t="s">
        <v>332</v>
      </c>
      <c r="C16" s="1">
        <f t="shared" si="1"/>
        <v>344100000</v>
      </c>
      <c r="D16" s="1">
        <f t="shared" si="1"/>
        <v>861100000</v>
      </c>
      <c r="E16">
        <f t="shared" si="2"/>
        <v>1008</v>
      </c>
      <c r="F16">
        <f t="shared" si="2"/>
        <v>2520</v>
      </c>
      <c r="G16" s="6">
        <f t="shared" si="3"/>
        <v>20.12158902045055</v>
      </c>
      <c r="H16" s="16">
        <f t="shared" si="3"/>
        <v>19.12673899877046</v>
      </c>
    </row>
    <row r="17" spans="1:8" ht="12.75">
      <c r="A17" s="52"/>
      <c r="B17" s="21" t="s">
        <v>333</v>
      </c>
      <c r="C17" s="1">
        <f t="shared" si="1"/>
        <v>861100000</v>
      </c>
      <c r="D17" s="1">
        <f t="shared" si="1"/>
        <v>2406100000</v>
      </c>
      <c r="E17">
        <f t="shared" si="2"/>
        <v>2520</v>
      </c>
      <c r="F17">
        <f t="shared" si="2"/>
        <v>7056</v>
      </c>
      <c r="G17" s="6">
        <f t="shared" si="3"/>
        <v>19.12673899877046</v>
      </c>
      <c r="H17" s="16">
        <f t="shared" si="3"/>
        <v>18.00884392041491</v>
      </c>
    </row>
    <row r="18" spans="1:8" ht="12.75">
      <c r="A18" s="53"/>
      <c r="B18" s="22" t="s">
        <v>334</v>
      </c>
      <c r="C18" s="23">
        <f t="shared" si="1"/>
        <v>2406100000</v>
      </c>
      <c r="D18" s="23">
        <f t="shared" si="1"/>
        <v>86100000</v>
      </c>
      <c r="E18" s="22">
        <f t="shared" si="2"/>
        <v>7056</v>
      </c>
      <c r="F18" s="22">
        <f t="shared" si="2"/>
        <v>252</v>
      </c>
      <c r="G18" s="24">
        <f>(LOG10(E18*0.000001*(PI()/(180*3600))^2)-LOG10(0.00000265))*(-2.5)</f>
        <v>18.00884392041491</v>
      </c>
      <c r="H18" s="25"/>
    </row>
  </sheetData>
  <sheetProtection/>
  <mergeCells count="6">
    <mergeCell ref="C1:D1"/>
    <mergeCell ref="E1:F1"/>
    <mergeCell ref="G1:H1"/>
    <mergeCell ref="A2:A8"/>
    <mergeCell ref="A9:A11"/>
    <mergeCell ref="A12:A18"/>
  </mergeCells>
  <printOptions/>
  <pageMargins left="0.7868055555555555" right="0.7868055555555555" top="0.9840277777777777" bottom="0.9840277777777777" header="0.49166666666666664" footer="0.49166666666666664"/>
  <pageSetup horizontalDpi="30066" verticalDpi="30066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31">
      <selection activeCell="C61" sqref="C61"/>
    </sheetView>
  </sheetViews>
  <sheetFormatPr defaultColWidth="11.00390625" defaultRowHeight="12.75"/>
  <cols>
    <col min="1" max="1" width="23.00390625" style="0" customWidth="1"/>
    <col min="2" max="2" width="11.00390625" style="0" customWidth="1"/>
    <col min="3" max="3" width="13.28125" style="0" bestFit="1" customWidth="1"/>
  </cols>
  <sheetData>
    <row r="1" spans="1:2" ht="12.75">
      <c r="A1" t="s">
        <v>337</v>
      </c>
      <c r="B1" t="s">
        <v>338</v>
      </c>
    </row>
    <row r="2" spans="1:3" ht="12.75">
      <c r="A2" t="s">
        <v>339</v>
      </c>
      <c r="C2" s="26"/>
    </row>
    <row r="3" spans="1:3" ht="12.75">
      <c r="A3" t="s">
        <v>340</v>
      </c>
      <c r="C3" s="35"/>
    </row>
    <row r="4" ht="12.75">
      <c r="A4" s="2" t="s">
        <v>341</v>
      </c>
    </row>
    <row r="5" spans="1:4" ht="12.75">
      <c r="A5" t="s">
        <v>342</v>
      </c>
      <c r="B5" t="s">
        <v>212</v>
      </c>
      <c r="C5" s="26">
        <v>10000</v>
      </c>
      <c r="D5" t="s">
        <v>343</v>
      </c>
    </row>
    <row r="6" spans="1:4" ht="12.75">
      <c r="A6" t="s">
        <v>344</v>
      </c>
      <c r="C6" s="26">
        <v>20</v>
      </c>
      <c r="D6" t="s">
        <v>345</v>
      </c>
    </row>
    <row r="7" spans="1:3" ht="12.75">
      <c r="A7" t="s">
        <v>346</v>
      </c>
      <c r="B7" t="s">
        <v>147</v>
      </c>
      <c r="C7" s="35">
        <f>'1-Cste Phys'!B28*((100)^0.2)^-C6</f>
        <v>2.5399999999999903E-14</v>
      </c>
    </row>
    <row r="8" ht="12.75">
      <c r="A8" s="2" t="s">
        <v>347</v>
      </c>
    </row>
    <row r="9" spans="1:3" ht="12.75">
      <c r="A9" t="s">
        <v>348</v>
      </c>
      <c r="C9">
        <v>5780</v>
      </c>
    </row>
    <row r="10" spans="1:3" ht="12.75">
      <c r="A10" t="s">
        <v>349</v>
      </c>
      <c r="B10" t="s">
        <v>120</v>
      </c>
      <c r="C10" s="1">
        <f>2*'1-Cste Phys'!B24</f>
        <v>1391016000</v>
      </c>
    </row>
    <row r="11" spans="1:3" ht="12.75">
      <c r="A11" t="s">
        <v>350</v>
      </c>
      <c r="B11" t="s">
        <v>120</v>
      </c>
      <c r="C11" s="1">
        <f>'1-Cste Phys'!B15</f>
        <v>149597870700</v>
      </c>
    </row>
    <row r="12" ht="12.75">
      <c r="A12" s="2" t="s">
        <v>351</v>
      </c>
    </row>
    <row r="13" spans="1:4" ht="12.75">
      <c r="A13" t="s">
        <v>352</v>
      </c>
      <c r="B13" t="s">
        <v>119</v>
      </c>
      <c r="C13" s="26">
        <v>2.8</v>
      </c>
      <c r="D13" t="s">
        <v>353</v>
      </c>
    </row>
    <row r="14" spans="1:3" ht="12.75">
      <c r="A14" t="s">
        <v>352</v>
      </c>
      <c r="B14" t="s">
        <v>120</v>
      </c>
      <c r="C14" s="1">
        <f>C13*C11</f>
        <v>418874037960</v>
      </c>
    </row>
    <row r="15" spans="1:3" ht="12.75">
      <c r="A15" t="s">
        <v>354</v>
      </c>
      <c r="B15" t="s">
        <v>160</v>
      </c>
      <c r="C15" s="1">
        <f>PI()*C10^2/C14^2/4</f>
        <v>8.661383045218925E-06</v>
      </c>
    </row>
    <row r="16" spans="1:3" ht="12.75">
      <c r="A16" t="s">
        <v>355</v>
      </c>
      <c r="B16" t="s">
        <v>120</v>
      </c>
      <c r="C16" s="26">
        <v>2000</v>
      </c>
    </row>
    <row r="17" spans="1:3" ht="12.75">
      <c r="A17" t="s">
        <v>356</v>
      </c>
      <c r="B17" t="s">
        <v>357</v>
      </c>
      <c r="C17" s="1">
        <f>PI()*C16^2/4</f>
        <v>3141592.653589793</v>
      </c>
    </row>
    <row r="18" spans="1:4" ht="12.75">
      <c r="A18" t="s">
        <v>358</v>
      </c>
      <c r="C18" s="34">
        <v>0.1</v>
      </c>
      <c r="D18" t="s">
        <v>359</v>
      </c>
    </row>
    <row r="19" spans="1:3" ht="12.75">
      <c r="A19" t="s">
        <v>360</v>
      </c>
      <c r="B19" t="s">
        <v>119</v>
      </c>
      <c r="C19" s="26">
        <v>2</v>
      </c>
    </row>
    <row r="20" spans="1:3" ht="12.75">
      <c r="A20" t="s">
        <v>360</v>
      </c>
      <c r="B20" t="s">
        <v>123</v>
      </c>
      <c r="C20" s="1">
        <f>C19*C11</f>
        <v>299195741400</v>
      </c>
    </row>
    <row r="21" spans="1:4" ht="12.75">
      <c r="A21" t="s">
        <v>361</v>
      </c>
      <c r="C21" s="1"/>
      <c r="D21" t="s">
        <v>362</v>
      </c>
    </row>
    <row r="22" spans="1:4" ht="12.75">
      <c r="A22" t="s">
        <v>363</v>
      </c>
      <c r="C22" s="33">
        <f>'15-BilanPhotoniqueAsteroide'!E95</f>
        <v>20.392865597584887</v>
      </c>
      <c r="D22" t="s">
        <v>364</v>
      </c>
    </row>
    <row r="23" spans="1:4" ht="12.75">
      <c r="A23" t="s">
        <v>344</v>
      </c>
      <c r="C23" s="36">
        <v>20</v>
      </c>
      <c r="D23" t="s">
        <v>365</v>
      </c>
    </row>
    <row r="24" ht="12.75">
      <c r="A24" s="2" t="s">
        <v>366</v>
      </c>
    </row>
    <row r="25" spans="1:4" ht="12.75">
      <c r="A25" t="s">
        <v>367</v>
      </c>
      <c r="B25" t="s">
        <v>368</v>
      </c>
      <c r="C25" s="26">
        <v>20</v>
      </c>
      <c r="D25" t="s">
        <v>369</v>
      </c>
    </row>
    <row r="26" ht="12.75">
      <c r="D26" t="s">
        <v>370</v>
      </c>
    </row>
    <row r="27" ht="12.75">
      <c r="A27" s="2" t="s">
        <v>371</v>
      </c>
    </row>
    <row r="28" spans="1:4" ht="12.75">
      <c r="A28" t="s">
        <v>372</v>
      </c>
      <c r="B28" t="s">
        <v>120</v>
      </c>
      <c r="C28">
        <v>0</v>
      </c>
      <c r="D28" t="s">
        <v>373</v>
      </c>
    </row>
    <row r="29" spans="1:4" s="2" customFormat="1" ht="12.75">
      <c r="A29" s="2" t="s">
        <v>374</v>
      </c>
      <c r="C29"/>
      <c r="D29"/>
    </row>
    <row r="30" spans="1:4" ht="12.75">
      <c r="A30" t="s">
        <v>375</v>
      </c>
      <c r="B30" t="s">
        <v>376</v>
      </c>
      <c r="C30" s="26">
        <v>90</v>
      </c>
      <c r="D30" t="s">
        <v>377</v>
      </c>
    </row>
    <row r="31" spans="1:4" ht="12.75">
      <c r="A31" t="s">
        <v>378</v>
      </c>
      <c r="D31" t="s">
        <v>379</v>
      </c>
    </row>
    <row r="32" spans="1:4" ht="12.75">
      <c r="A32" t="s">
        <v>380</v>
      </c>
      <c r="B32" t="s">
        <v>381</v>
      </c>
      <c r="C32" s="26">
        <v>3</v>
      </c>
      <c r="D32" t="s">
        <v>382</v>
      </c>
    </row>
    <row r="33" ht="12.75">
      <c r="A33" s="2" t="s">
        <v>383</v>
      </c>
    </row>
    <row r="34" spans="1:4" ht="12.75">
      <c r="A34" t="s">
        <v>384</v>
      </c>
      <c r="B34" t="s">
        <v>120</v>
      </c>
      <c r="C34" s="26">
        <v>0.5</v>
      </c>
      <c r="D34" t="s">
        <v>385</v>
      </c>
    </row>
    <row r="35" spans="1:3" ht="12.75">
      <c r="A35" t="s">
        <v>386</v>
      </c>
      <c r="B35" t="s">
        <v>357</v>
      </c>
      <c r="C35" s="47">
        <f>PI()*(C34^2)/4</f>
        <v>0.19634954084936207</v>
      </c>
    </row>
    <row r="36" spans="1:3" ht="12.75">
      <c r="A36" t="s">
        <v>167</v>
      </c>
      <c r="B36" t="s">
        <v>120</v>
      </c>
      <c r="C36" s="26">
        <v>1.4013</v>
      </c>
    </row>
    <row r="37" spans="1:3" ht="12.75">
      <c r="A37" t="s">
        <v>387</v>
      </c>
      <c r="B37" t="s">
        <v>123</v>
      </c>
      <c r="C37" s="26">
        <f>0.2</f>
        <v>0.2</v>
      </c>
    </row>
    <row r="38" spans="1:3" ht="12.75">
      <c r="A38" t="s">
        <v>388</v>
      </c>
      <c r="B38" t="s">
        <v>357</v>
      </c>
      <c r="C38">
        <f>((PI()*(C34^2)/4)-(PI()*(C37^2)/4))</f>
        <v>0.16493361431346415</v>
      </c>
    </row>
    <row r="39" spans="1:3" ht="12.75">
      <c r="A39" t="s">
        <v>389</v>
      </c>
      <c r="C39">
        <v>0.95</v>
      </c>
    </row>
    <row r="40" spans="1:3" ht="12.75">
      <c r="A40" t="s">
        <v>390</v>
      </c>
      <c r="C40" s="46">
        <v>3</v>
      </c>
    </row>
    <row r="41" spans="1:3" ht="12.75">
      <c r="A41" t="s">
        <v>391</v>
      </c>
      <c r="C41">
        <f>C39^C40</f>
        <v>0.8573749999999999</v>
      </c>
    </row>
    <row r="42" spans="1:4" ht="12.75">
      <c r="A42" t="s">
        <v>392</v>
      </c>
      <c r="C42">
        <f>C41*((C34^2)-(C37^2))/(C34^2)</f>
        <v>0.7201949999999999</v>
      </c>
      <c r="D42" t="s">
        <v>393</v>
      </c>
    </row>
    <row r="43" ht="12.75">
      <c r="A43" s="2" t="s">
        <v>394</v>
      </c>
    </row>
    <row r="44" spans="1:4" ht="12.75">
      <c r="A44" t="s">
        <v>395</v>
      </c>
      <c r="B44" t="s">
        <v>120</v>
      </c>
      <c r="C44" s="27">
        <v>3.76E-06</v>
      </c>
      <c r="D44" t="s">
        <v>396</v>
      </c>
    </row>
    <row r="45" spans="1:3" ht="12.75">
      <c r="A45" t="s">
        <v>397</v>
      </c>
      <c r="C45" s="48">
        <f>C44/C36</f>
        <v>2.6832227217583674E-06</v>
      </c>
    </row>
    <row r="46" spans="1:3" ht="12.75">
      <c r="A46" t="s">
        <v>398</v>
      </c>
      <c r="C46" s="48">
        <f>C45/PI()*180*3600</f>
        <v>0.5534544148212962</v>
      </c>
    </row>
    <row r="47" spans="1:3" ht="12.75">
      <c r="A47" t="s">
        <v>399</v>
      </c>
      <c r="C47" s="48">
        <f>C46^2</f>
        <v>0.30631178928518343</v>
      </c>
    </row>
    <row r="48" spans="1:3" ht="12.75">
      <c r="A48" t="s">
        <v>400</v>
      </c>
      <c r="B48" t="s">
        <v>123</v>
      </c>
      <c r="C48" s="27">
        <f>0.036</f>
        <v>0.036</v>
      </c>
    </row>
    <row r="49" spans="1:3" ht="12.75">
      <c r="A49" t="s">
        <v>401</v>
      </c>
      <c r="B49" t="s">
        <v>123</v>
      </c>
      <c r="C49" s="27">
        <v>0.024</v>
      </c>
    </row>
    <row r="50" spans="1:4" ht="12.75">
      <c r="A50" t="s">
        <v>402</v>
      </c>
      <c r="C50" s="26">
        <v>0.9</v>
      </c>
      <c r="D50" t="s">
        <v>403</v>
      </c>
    </row>
    <row r="51" spans="1:3" ht="12.75">
      <c r="A51" t="s">
        <v>404</v>
      </c>
      <c r="B51" t="s">
        <v>120</v>
      </c>
      <c r="C51" s="27">
        <v>5.3E-07</v>
      </c>
    </row>
    <row r="52" spans="1:3" ht="12.75">
      <c r="A52" t="s">
        <v>405</v>
      </c>
      <c r="B52" t="s">
        <v>120</v>
      </c>
      <c r="C52" s="27">
        <v>3.9E-07</v>
      </c>
    </row>
    <row r="53" spans="1:3" ht="12.75">
      <c r="A53" t="s">
        <v>406</v>
      </c>
      <c r="B53" t="s">
        <v>120</v>
      </c>
      <c r="C53" s="27">
        <v>8E-07</v>
      </c>
    </row>
    <row r="54" spans="1:4" ht="12.75">
      <c r="A54" t="s">
        <v>407</v>
      </c>
      <c r="B54" t="s">
        <v>408</v>
      </c>
      <c r="C54" s="27">
        <v>1.5</v>
      </c>
      <c r="D54" t="s">
        <v>409</v>
      </c>
    </row>
    <row r="55" spans="1:4" ht="12.75">
      <c r="A55" t="s">
        <v>410</v>
      </c>
      <c r="B55" t="s">
        <v>118</v>
      </c>
      <c r="C55" s="28">
        <v>60</v>
      </c>
      <c r="D55" t="s">
        <v>411</v>
      </c>
    </row>
    <row r="56" spans="1:4" ht="12.75">
      <c r="A56" t="s">
        <v>412</v>
      </c>
      <c r="D56" t="s">
        <v>379</v>
      </c>
    </row>
    <row r="57" spans="1:4" ht="12.75">
      <c r="A57" s="2" t="s">
        <v>413</v>
      </c>
      <c r="D57" t="s">
        <v>414</v>
      </c>
    </row>
    <row r="58" spans="1:3" ht="12.75">
      <c r="A58" t="s">
        <v>91</v>
      </c>
      <c r="B58" t="s">
        <v>92</v>
      </c>
      <c r="C58">
        <f>'1-Cste Phys'!B3</f>
        <v>299792458</v>
      </c>
    </row>
    <row r="59" spans="1:3" ht="12.75">
      <c r="A59" t="s">
        <v>94</v>
      </c>
      <c r="B59" t="s">
        <v>95</v>
      </c>
      <c r="C59" s="1">
        <f>'1-Cste Phys'!B4</f>
        <v>6.62607015E-34</v>
      </c>
    </row>
    <row r="60" spans="1:3" ht="12.75">
      <c r="A60" t="s">
        <v>99</v>
      </c>
      <c r="B60" t="s">
        <v>100</v>
      </c>
      <c r="C60" s="1">
        <f>'1-Cste Phys'!B6</f>
        <v>1.380649E-23</v>
      </c>
    </row>
    <row r="61" spans="1:3" ht="12.75">
      <c r="A61" t="s">
        <v>415</v>
      </c>
      <c r="B61" t="s">
        <v>147</v>
      </c>
      <c r="C61" s="1">
        <f>'1-Cste Phys'!B28</f>
        <v>2.54E-06</v>
      </c>
    </row>
  </sheetData>
  <sheetProtection/>
  <printOptions/>
  <pageMargins left="0.7868055555555555" right="0.7868055555555555" top="0.9840277777777777" bottom="0.9840277777777777" header="0.49166666666666664" footer="0.49166666666666664"/>
  <pageSetup horizontalDpi="30066" verticalDpi="30066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1" sqref="H31"/>
    </sheetView>
  </sheetViews>
  <sheetFormatPr defaultColWidth="11.00390625" defaultRowHeight="12.75"/>
  <cols>
    <col min="1" max="3" width="11.00390625" style="0" customWidth="1"/>
    <col min="4" max="4" width="12.421875" style="0" bestFit="1" customWidth="1"/>
    <col min="5" max="8" width="12.421875" style="0" customWidth="1"/>
  </cols>
  <sheetData>
    <row r="1" spans="1:12" s="2" customFormat="1" ht="12.75">
      <c r="A1" s="2" t="s">
        <v>181</v>
      </c>
      <c r="B1" s="2" t="s">
        <v>416</v>
      </c>
      <c r="C1" s="2" t="s">
        <v>417</v>
      </c>
      <c r="D1" s="2" t="s">
        <v>183</v>
      </c>
      <c r="E1" s="2" t="s">
        <v>418</v>
      </c>
      <c r="F1" s="2" t="s">
        <v>419</v>
      </c>
      <c r="G1" s="2" t="s">
        <v>420</v>
      </c>
      <c r="H1" s="2" t="s">
        <v>421</v>
      </c>
      <c r="I1" s="2" t="s">
        <v>422</v>
      </c>
      <c r="J1" s="2" t="s">
        <v>423</v>
      </c>
      <c r="K1" s="2" t="s">
        <v>424</v>
      </c>
      <c r="L1" s="2" t="s">
        <v>425</v>
      </c>
    </row>
    <row r="2" spans="1:6" ht="12.75">
      <c r="A2" t="s">
        <v>120</v>
      </c>
      <c r="B2" t="s">
        <v>426</v>
      </c>
      <c r="C2" t="s">
        <v>427</v>
      </c>
      <c r="E2" t="s">
        <v>428</v>
      </c>
      <c r="F2" t="s">
        <v>429</v>
      </c>
    </row>
    <row r="3" spans="1:12" ht="12.75">
      <c r="A3" s="1">
        <v>2.7E-07</v>
      </c>
      <c r="B3" s="1">
        <f>2*'12-Hypothèses'!$C$58/(A3^4)/(EXP('12-Hypothèses'!$C$59*'12-Hypothèses'!$C$58/A3/'12-Hypothèses'!$C$60/'12-Hypothèses'!$C$5)-1)</f>
        <v>5.4984108959566615E+32</v>
      </c>
      <c r="C3" s="1">
        <f>B3*'12-Hypothèses'!$C$59*'12-Hypothèses'!$C$58/'13-BilanPhotoniqueEtoile'!A3</f>
        <v>404529464636134.75</v>
      </c>
      <c r="E3" s="1">
        <f aca="true" t="shared" si="0" ref="E3:E34">C3*D3*673</f>
        <v>0</v>
      </c>
      <c r="F3" s="1">
        <f aca="true" t="shared" si="1" ref="F3:F34">B3*$E$90</f>
        <v>1068858241.9831655</v>
      </c>
      <c r="G3" s="1">
        <v>0</v>
      </c>
      <c r="H3" s="1">
        <f>G3^(1/COS((90-'12-Hypothèses'!$C$30)*PI()/180))</f>
        <v>0</v>
      </c>
      <c r="I3" s="1">
        <f>'12-Hypothèses'!$C$42</f>
        <v>0.7201949999999999</v>
      </c>
      <c r="J3" s="1">
        <v>1</v>
      </c>
      <c r="K3" s="1">
        <f>('12-Hypothèses'!$C$50/2)+('12-Hypothèses'!$C$50/2)*IF(A3&lt;'12-Hypothèses'!$C$51,COS((A3-'12-Hypothèses'!$C$51)*PI()/(2*('12-Hypothèses'!$C$51-'12-Hypothèses'!$C$52))),IF(A3&lt;'12-Hypothèses'!$C$53,COS((A3-'12-Hypothèses'!$C$51)*PI()/(2*('12-Hypothèses'!$C$53-'12-Hypothèses'!$C$51))),COS((PI()/2+(A3-'12-Hypothèses'!$C$53)*PI()/(2*(0.0000011-'12-Hypothèses'!$C$53))))))</f>
        <v>0.011282439518179366</v>
      </c>
      <c r="L3" s="1">
        <f aca="true" t="shared" si="2" ref="L3:L34">F3*H3*I3*J3*K3</f>
        <v>0</v>
      </c>
    </row>
    <row r="4" spans="1:12" ht="12.75">
      <c r="A4" s="1">
        <v>2.8E-07</v>
      </c>
      <c r="B4" s="1">
        <f>2*'12-Hypothèses'!$C$58/(A4^4)/(EXP('12-Hypothèses'!$C$59*'12-Hypothèses'!$C$58/A4/'12-Hypothèses'!$C$60/'12-Hypothèses'!$C$5)-1)</f>
        <v>5.756473814323E+32</v>
      </c>
      <c r="C4" s="1">
        <f>B4*'12-Hypothèses'!$C$59*'12-Hypothèses'!$C$58/'13-BilanPhotoniqueEtoile'!A4</f>
        <v>408390127151721.94</v>
      </c>
      <c r="E4" s="1">
        <f t="shared" si="0"/>
        <v>0</v>
      </c>
      <c r="F4" s="1">
        <f t="shared" si="1"/>
        <v>1119024132.176808</v>
      </c>
      <c r="G4" s="1">
        <v>0</v>
      </c>
      <c r="H4" s="1">
        <f>G4^(1/COS((90-'12-Hypothèses'!$C$30)*PI()/180))</f>
        <v>0</v>
      </c>
      <c r="I4" s="1">
        <f>'12-Hypothèses'!$C$42</f>
        <v>0.7201949999999999</v>
      </c>
      <c r="J4" s="1">
        <v>1</v>
      </c>
      <c r="K4" s="1">
        <f>('12-Hypothèses'!$C$50/2)+('12-Hypothèses'!$C$50/2)*IF(A4&lt;'12-Hypothèses'!$C$51,COS((A4-'12-Hypothèses'!$C$51)*PI()/(2*('12-Hypothèses'!$C$51-'12-Hypothèses'!$C$52))),IF(A4&lt;'12-Hypothèses'!$C$53,COS((A4-'12-Hypothèses'!$C$51)*PI()/(2*('12-Hypothèses'!$C$53-'12-Hypothèses'!$C$51))),COS((PI()/2+(A4-'12-Hypothèses'!$C$53)*PI()/(2*(0.0000011-'12-Hypothèses'!$C$53))))))</f>
        <v>0.02525250136123458</v>
      </c>
      <c r="L4" s="1">
        <f t="shared" si="2"/>
        <v>0</v>
      </c>
    </row>
    <row r="5" spans="1:12" ht="12.75">
      <c r="A5" s="1">
        <v>2.9E-07</v>
      </c>
      <c r="B5" s="1">
        <f>2*'12-Hypothèses'!$C$58/(A5^4)/(EXP('12-Hypothèses'!$C$59*'12-Hypothèses'!$C$58/A5/'12-Hypothèses'!$C$60/'12-Hypothèses'!$C$5)-1)</f>
        <v>5.979241565095825E+32</v>
      </c>
      <c r="C5" s="1">
        <f>B5*'12-Hypothèses'!$C$59*'12-Hypothèses'!$C$58/'13-BilanPhotoniqueEtoile'!A5</f>
        <v>409566883995768.25</v>
      </c>
      <c r="E5" s="1">
        <f t="shared" si="0"/>
        <v>0</v>
      </c>
      <c r="F5" s="1">
        <f t="shared" si="1"/>
        <v>1162328852.5709643</v>
      </c>
      <c r="G5" s="1">
        <v>0</v>
      </c>
      <c r="H5" s="1">
        <f>G5^(1/COS((90-'12-Hypothèses'!$C$30)*PI()/180))</f>
        <v>0</v>
      </c>
      <c r="I5" s="1">
        <f>'12-Hypothèses'!$C$42</f>
        <v>0.7201949999999999</v>
      </c>
      <c r="J5" s="1">
        <v>1</v>
      </c>
      <c r="K5" s="1">
        <f>('12-Hypothèses'!$C$50/2)+('12-Hypothèses'!$C$50/2)*IF(A5&lt;'12-Hypothèses'!$C$51,COS((A5-'12-Hypothèses'!$C$51)*PI()/(2*('12-Hypothèses'!$C$51-'12-Hypothèses'!$C$52))),IF(A5&lt;'12-Hypothèses'!$C$53,COS((A5-'12-Hypothèses'!$C$51)*PI()/(2*('12-Hypothèses'!$C$53-'12-Hypothèses'!$C$51))),COS((PI()/2+(A5-'12-Hypothèses'!$C$53)*PI()/(2*(0.0000011-'12-Hypothèses'!$C$53))))))</f>
        <v>0.04456400944391131</v>
      </c>
      <c r="L5" s="1">
        <f t="shared" si="2"/>
        <v>0</v>
      </c>
    </row>
    <row r="6" spans="1:12" ht="12.75">
      <c r="A6" s="1">
        <v>3E-07</v>
      </c>
      <c r="B6" s="1">
        <f>2*'12-Hypothèses'!$C$58/(A6^4)/(EXP('12-Hypothèses'!$C$59*'12-Hypothèses'!$C$58/A6/'12-Hypothèses'!$C$60/'12-Hypothèses'!$C$5)-1)</f>
        <v>6.167745753549994E+32</v>
      </c>
      <c r="C6" s="1">
        <f>B6*'12-Hypothèses'!$C$59*'12-Hypothèses'!$C$58/'13-BilanPhotoniqueEtoile'!A6</f>
        <v>408396433336242.8</v>
      </c>
      <c r="E6" s="1">
        <f t="shared" si="0"/>
        <v>0</v>
      </c>
      <c r="F6" s="1">
        <f t="shared" si="1"/>
        <v>1198972941.07038</v>
      </c>
      <c r="G6" s="1">
        <v>0</v>
      </c>
      <c r="H6" s="1">
        <f>G6^(1/COS((90-'12-Hypothèses'!$C$30)*PI()/180))</f>
        <v>0</v>
      </c>
      <c r="I6" s="1">
        <f>'12-Hypothèses'!$C$42</f>
        <v>0.7201949999999999</v>
      </c>
      <c r="J6" s="1">
        <v>1</v>
      </c>
      <c r="K6" s="1">
        <f>('12-Hypothèses'!$C$50/2)+('12-Hypothèses'!$C$50/2)*IF(A6&lt;'12-Hypothèses'!$C$51,COS((A6-'12-Hypothèses'!$C$51)*PI()/(2*('12-Hypothèses'!$C$51-'12-Hypothèses'!$C$52))),IF(A6&lt;'12-Hypothèses'!$C$53,COS((A6-'12-Hypothèses'!$C$51)*PI()/(2*('12-Hypothèses'!$C$53-'12-Hypothèses'!$C$51))),COS((PI()/2+(A6-'12-Hypothèses'!$C$53)*PI()/(2*(0.0000011-'12-Hypothèses'!$C$53))))))</f>
        <v>0.06897411034727202</v>
      </c>
      <c r="L6" s="1">
        <f t="shared" si="2"/>
        <v>0</v>
      </c>
    </row>
    <row r="7" spans="1:12" ht="12.75">
      <c r="A7" s="1">
        <v>3.1E-07</v>
      </c>
      <c r="B7" s="1">
        <f>2*'12-Hypothèses'!$C$58/(A7^4)/(EXP('12-Hypothèses'!$C$59*'12-Hypothèses'!$C$58/A7/'12-Hypothèses'!$C$60/'12-Hypothèses'!$C$5)-1)</f>
        <v>6.323522449543239E+32</v>
      </c>
      <c r="C7" s="1">
        <f>B7*'12-Hypothèses'!$C$59*'12-Hypothèses'!$C$58/'13-BilanPhotoniqueEtoile'!A7</f>
        <v>405204353951077.8</v>
      </c>
      <c r="E7" s="1">
        <f t="shared" si="0"/>
        <v>0</v>
      </c>
      <c r="F7" s="1">
        <f t="shared" si="1"/>
        <v>1229255000.4820776</v>
      </c>
      <c r="G7" s="1">
        <v>0.08</v>
      </c>
      <c r="H7" s="1">
        <f>G7^(1/COS((90-'12-Hypothèses'!$C$30)*PI()/180))</f>
        <v>0.08</v>
      </c>
      <c r="I7" s="1">
        <f>'12-Hypothèses'!$C$42</f>
        <v>0.7201949999999999</v>
      </c>
      <c r="J7" s="1">
        <v>1</v>
      </c>
      <c r="K7" s="1">
        <f>('12-Hypothèses'!$C$50/2)+('12-Hypothèses'!$C$50/2)*IF(A7&lt;'12-Hypothèses'!$C$51,COS((A7-'12-Hypothèses'!$C$51)*PI()/(2*('12-Hypothèses'!$C$51-'12-Hypothèses'!$C$52))),IF(A7&lt;'12-Hypothèses'!$C$53,COS((A7-'12-Hypothèses'!$C$51)*PI()/(2*('12-Hypothèses'!$C$53-'12-Hypothèses'!$C$51))),COS((PI()/2+(A7-'12-Hypothèses'!$C$53)*PI()/(2*(0.0000011-'12-Hypothèses'!$C$53))))))</f>
        <v>0.09817583288938647</v>
      </c>
      <c r="L7" s="1">
        <f t="shared" si="2"/>
        <v>6953231.146815107</v>
      </c>
    </row>
    <row r="8" spans="1:12" ht="12.75">
      <c r="A8" s="1">
        <v>3.2E-07</v>
      </c>
      <c r="B8" s="1">
        <f>2*'12-Hypothèses'!$C$58/(A8^4)/(EXP('12-Hypothèses'!$C$59*'12-Hypothèses'!$C$58/'13-BilanPhotoniqueEtoile'!A8/'12-Hypothèses'!$C$60/'12-Hypothèses'!$C$5)-1)</f>
        <v>6.4484577746841435E+32</v>
      </c>
      <c r="C8" s="1">
        <f>B8*'12-Hypothèses'!$C$59*'12-Hypothèses'!$C$58/'13-BilanPhotoniqueEtoile'!A8</f>
        <v>400297257235034.94</v>
      </c>
      <c r="E8" s="1">
        <f t="shared" si="0"/>
        <v>0</v>
      </c>
      <c r="F8" s="1">
        <f t="shared" si="1"/>
        <v>1253541681.5829575</v>
      </c>
      <c r="G8" s="1">
        <v>0.16</v>
      </c>
      <c r="H8" s="1">
        <f>G8^(1/COS((90-'12-Hypothèses'!$C$30)*PI()/180))</f>
        <v>0.16</v>
      </c>
      <c r="I8" s="1">
        <f>'12-Hypothèses'!$C$42</f>
        <v>0.7201949999999999</v>
      </c>
      <c r="J8" s="1">
        <v>1</v>
      </c>
      <c r="K8" s="1">
        <f>('12-Hypothèses'!$C$50/2)+('12-Hypothèses'!$C$50/2)*IF(A8&lt;'12-Hypothèses'!$C$51,COS((A8-'12-Hypothèses'!$C$51)*PI()/(2*('12-Hypothèses'!$C$51-'12-Hypothèses'!$C$52))),IF(A8&lt;'12-Hypothèses'!$C$53,COS((A8-'12-Hypothèses'!$C$51)*PI()/(2*('12-Hypothèses'!$C$53-'12-Hypothèses'!$C$51))),COS((PI()/2+(A8-'12-Hypothèses'!$C$53)*PI()/(2*(0.0000011-'12-Hypothèses'!$C$53))))))</f>
        <v>0.13180194846605348</v>
      </c>
      <c r="L8" s="1">
        <f t="shared" si="2"/>
        <v>19038410.840735428</v>
      </c>
    </row>
    <row r="9" spans="1:12" ht="12.75">
      <c r="A9" s="1">
        <v>3.3E-07</v>
      </c>
      <c r="B9" s="1">
        <f>2*'12-Hypothèses'!$C$58/(A9^4)/(EXP('12-Hypothèses'!$C$59*'12-Hypothèses'!$C$58/'13-BilanPhotoniqueEtoile'!A9/'12-Hypothèses'!$C$60/'12-Hypothèses'!$C$5)-1)</f>
        <v>6.544661177538114E+32</v>
      </c>
      <c r="C9" s="1">
        <f>B9*'12-Hypothèses'!$C$59*'12-Hypothèses'!$C$58/'13-BilanPhotoniqueEtoile'!A9</f>
        <v>393958032804970.1</v>
      </c>
      <c r="E9" s="1">
        <f t="shared" si="0"/>
        <v>0</v>
      </c>
      <c r="F9" s="1">
        <f t="shared" si="1"/>
        <v>1272243048.5766299</v>
      </c>
      <c r="G9" s="1">
        <v>0.24</v>
      </c>
      <c r="H9" s="1">
        <f>G9^(1/COS((90-'12-Hypothèses'!$C$30)*PI()/180))</f>
        <v>0.24</v>
      </c>
      <c r="I9" s="1">
        <f>'12-Hypothèses'!$C$42</f>
        <v>0.7201949999999999</v>
      </c>
      <c r="J9" s="1">
        <v>1</v>
      </c>
      <c r="K9" s="1">
        <f>('12-Hypothèses'!$C$50/2)+('12-Hypothèses'!$C$50/2)*IF(A9&lt;'12-Hypothèses'!$C$51,COS((A9-'12-Hypothèses'!$C$51)*PI()/(2*('12-Hypothèses'!$C$51-'12-Hypothèses'!$C$52))),IF(A9&lt;'12-Hypothèses'!$C$53,COS((A9-'12-Hypothèses'!$C$51)*PI()/(2*('12-Hypothèses'!$C$53-'12-Hypothèses'!$C$51))),COS((PI()/2+(A9-'12-Hypothèses'!$C$53)*PI()/(2*(0.0000011-'12-Hypothèses'!$C$53))))))</f>
        <v>0.16942958916356976</v>
      </c>
      <c r="L9" s="1">
        <f t="shared" si="2"/>
        <v>37258098.626792446</v>
      </c>
    </row>
    <row r="10" spans="1:12" ht="12.75">
      <c r="A10" s="1">
        <v>3.4E-07</v>
      </c>
      <c r="B10" s="1">
        <f>2*'12-Hypothèses'!$C$58/(A10^4)/(EXP('12-Hypothèses'!$C$59*'12-Hypothèses'!$C$58/'13-BilanPhotoniqueEtoile'!A10/'12-Hypothèses'!$C$60/'12-Hypothèses'!$C$5)-1)</f>
        <v>6.614364022413104E+32</v>
      </c>
      <c r="C10" s="1">
        <f>B10*'12-Hypothèses'!$C$59*'12-Hypothèses'!$C$58/'13-BilanPhotoniqueEtoile'!A10</f>
        <v>386443412058748.06</v>
      </c>
      <c r="E10" s="1">
        <f t="shared" si="0"/>
        <v>0</v>
      </c>
      <c r="F10" s="1">
        <f t="shared" si="1"/>
        <v>1285792865.358983</v>
      </c>
      <c r="G10" s="1">
        <v>0.28</v>
      </c>
      <c r="H10" s="1">
        <f>G10^(1/COS((90-'12-Hypothèses'!$C$30)*PI()/180))</f>
        <v>0.28</v>
      </c>
      <c r="I10" s="1">
        <f>'12-Hypothèses'!$C$42</f>
        <v>0.7201949999999999</v>
      </c>
      <c r="J10" s="1">
        <v>1</v>
      </c>
      <c r="K10" s="1">
        <f>('12-Hypothèses'!$C$50/2)+('12-Hypothèses'!$C$50/2)*IF(A10&lt;'12-Hypothèses'!$C$51,COS((A10-'12-Hypothèses'!$C$51)*PI()/(2*('12-Hypothèses'!$C$51-'12-Hypothèses'!$C$52))),IF(A10&lt;'12-Hypothèses'!$C$53,COS((A10-'12-Hypothèses'!$C$51)*PI()/(2*('12-Hypothèses'!$C$53-'12-Hypothèses'!$C$51))),COS((PI()/2+(A10-'12-Hypothèses'!$C$53)*PI()/(2*(0.0000011-'12-Hypothèses'!$C$53))))))</f>
        <v>0.21058556556809824</v>
      </c>
      <c r="L10" s="1">
        <f t="shared" si="2"/>
        <v>54601898.62962691</v>
      </c>
    </row>
    <row r="11" spans="1:12" ht="12.75">
      <c r="A11" s="1">
        <v>3.5E-07</v>
      </c>
      <c r="B11" s="1">
        <f>2*'12-Hypothèses'!$C$58/(A11^4)/(EXP('12-Hypothèses'!$C$59*'12-Hypothèses'!$C$58/'13-BilanPhotoniqueEtoile'!A11/'12-Hypothèses'!$C$60/'12-Hypothèses'!$C$5)-1)</f>
        <v>6.65984042685716E+32</v>
      </c>
      <c r="C11" s="1">
        <f>B11*'12-Hypothèses'!$C$59*'12-Hypothèses'!$C$58/'13-BilanPhotoniqueEtoile'!A11</f>
        <v>377983212148667.4</v>
      </c>
      <c r="E11" s="1">
        <f t="shared" si="0"/>
        <v>0</v>
      </c>
      <c r="F11" s="1">
        <f t="shared" si="1"/>
        <v>1294633206.8004591</v>
      </c>
      <c r="G11" s="1">
        <v>0.32</v>
      </c>
      <c r="H11" s="1">
        <f>G11^(1/COS((90-'12-Hypothèses'!$C$30)*PI()/180))</f>
        <v>0.32</v>
      </c>
      <c r="I11" s="1">
        <f>'12-Hypothèses'!$C$42</f>
        <v>0.7201949999999999</v>
      </c>
      <c r="J11" s="1">
        <v>1</v>
      </c>
      <c r="K11" s="1">
        <f>('12-Hypothèses'!$C$50/2)+('12-Hypothèses'!$C$50/2)*IF(A11&lt;'12-Hypothèses'!$C$51,COS((A11-'12-Hypothèses'!$C$51)*PI()/(2*('12-Hypothèses'!$C$51-'12-Hypothèses'!$C$52))),IF(A11&lt;'12-Hypothèses'!$C$53,COS((A11-'12-Hypothèses'!$C$51)*PI()/(2*('12-Hypothèses'!$C$53-'12-Hypothèses'!$C$51))),COS((PI()/2+(A11-'12-Hypothèses'!$C$53)*PI()/(2*(0.0000011-'12-Hypothèses'!$C$53))))))</f>
        <v>0.2547523173970987</v>
      </c>
      <c r="L11" s="1">
        <f t="shared" si="2"/>
        <v>76008990.7290449</v>
      </c>
    </row>
    <row r="12" spans="1:12" ht="12.75">
      <c r="A12" s="1">
        <v>3.6E-07</v>
      </c>
      <c r="B12" s="1">
        <f>2*'12-Hypothèses'!$C$58/(A12^4)/(EXP('12-Hypothèses'!$C$59*'12-Hypothèses'!$C$58/'13-BilanPhotoniqueEtoile'!A12/'12-Hypothèses'!$C$60/'12-Hypothèses'!$C$5)-1)</f>
        <v>6.683347080175131E+32</v>
      </c>
      <c r="C12" s="1">
        <f>B12*'12-Hypothèses'!$C$59*'12-Hypothèses'!$C$58/'13-BilanPhotoniqueEtoile'!A12</f>
        <v>368780753313952.1</v>
      </c>
      <c r="E12" s="1">
        <f t="shared" si="0"/>
        <v>0</v>
      </c>
      <c r="F12" s="1">
        <f t="shared" si="1"/>
        <v>1299202759.825103</v>
      </c>
      <c r="G12" s="1">
        <v>0.35</v>
      </c>
      <c r="H12" s="1">
        <f>G12^(1/COS((90-'12-Hypothèses'!$C$30)*PI()/180))</f>
        <v>0.35</v>
      </c>
      <c r="I12" s="1">
        <f>'12-Hypothèses'!$C$42</f>
        <v>0.7201949999999999</v>
      </c>
      <c r="J12" s="1">
        <v>1</v>
      </c>
      <c r="K12" s="1">
        <f>('12-Hypothèses'!$C$50/2)+('12-Hypothèses'!$C$50/2)*IF(A12&lt;'12-Hypothèses'!$C$51,COS((A12-'12-Hypothèses'!$C$51)*PI()/(2*('12-Hypothèses'!$C$51-'12-Hypothèses'!$C$52))),IF(A12&lt;'12-Hypothèses'!$C$53,COS((A12-'12-Hypothèses'!$C$51)*PI()/(2*('12-Hypothèses'!$C$53-'12-Hypothèses'!$C$51))),COS((PI()/2+(A12-'12-Hypothèses'!$C$53)*PI()/(2*(0.0000011-'12-Hypothèses'!$C$53))))))</f>
        <v>0.30137442212017473</v>
      </c>
      <c r="L12" s="1">
        <f t="shared" si="2"/>
        <v>98696436.24905056</v>
      </c>
    </row>
    <row r="13" spans="1:12" ht="12.75">
      <c r="A13" s="1">
        <v>3.7E-07</v>
      </c>
      <c r="B13" s="1">
        <f>2*'12-Hypothèses'!$C$58/(A13^4)/(EXP('12-Hypothèses'!$C$59*'12-Hypothèses'!$C$58/'13-BilanPhotoniqueEtoile'!A13/'12-Hypothèses'!$C$60/'12-Hypothèses'!$C$5)-1)</f>
        <v>6.687078870726351E+32</v>
      </c>
      <c r="C13" s="1">
        <f>B13*'12-Hypothèses'!$C$59*'12-Hypothèses'!$C$58/'13-BilanPhotoniqueEtoile'!A13</f>
        <v>359014057275202.56</v>
      </c>
      <c r="E13" s="1">
        <f t="shared" si="0"/>
        <v>0</v>
      </c>
      <c r="F13" s="1">
        <f t="shared" si="1"/>
        <v>1299928197.6222236</v>
      </c>
      <c r="G13" s="1">
        <v>0.37</v>
      </c>
      <c r="H13" s="1">
        <f>G13^(1/COS((90-'12-Hypothèses'!$C$30)*PI()/180))</f>
        <v>0.37</v>
      </c>
      <c r="I13" s="1">
        <f>'12-Hypothèses'!$C$42</f>
        <v>0.7201949999999999</v>
      </c>
      <c r="J13" s="1">
        <v>1</v>
      </c>
      <c r="K13" s="1">
        <f>('12-Hypothèses'!$C$50/2)+('12-Hypothèses'!$C$50/2)*IF(A13&lt;'12-Hypothèses'!$C$51,COS((A13-'12-Hypothèses'!$C$51)*PI()/(2*('12-Hypothèses'!$C$51-'12-Hypothèses'!$C$52))),IF(A13&lt;'12-Hypothèses'!$C$53,COS((A13-'12-Hypothèses'!$C$51)*PI()/(2*('12-Hypothèses'!$C$53-'12-Hypothèses'!$C$51))),COS((PI()/2+(A13-'12-Hypothèses'!$C$53)*PI()/(2*(0.0000011-'12-Hypothèses'!$C$53))))))</f>
        <v>0.3498655797196585</v>
      </c>
      <c r="L13" s="1">
        <f t="shared" si="2"/>
        <v>121191569.11557662</v>
      </c>
    </row>
    <row r="14" spans="1:12" ht="12.75">
      <c r="A14" s="1">
        <v>3.8E-07</v>
      </c>
      <c r="B14" s="1">
        <f>2*'12-Hypothèses'!$C$58/(A14^4)/(EXP('12-Hypothèses'!$C$59*'12-Hypothèses'!$C$58/'13-BilanPhotoniqueEtoile'!A14/'12-Hypothèses'!$C$60/'12-Hypothèses'!$C$5)-1)</f>
        <v>6.673137412004492E+32</v>
      </c>
      <c r="C14" s="1">
        <f>B14*'12-Hypothèses'!$C$59*'12-Hypothèses'!$C$58/'13-BilanPhotoniqueEtoile'!A14</f>
        <v>348837530691101.25</v>
      </c>
      <c r="D14">
        <v>4E-05</v>
      </c>
      <c r="E14" s="1">
        <f t="shared" si="0"/>
        <v>9390706326204.445</v>
      </c>
      <c r="F14" s="1">
        <f t="shared" si="1"/>
        <v>1297218061.304277</v>
      </c>
      <c r="G14" s="1">
        <v>0.39</v>
      </c>
      <c r="H14" s="1">
        <f>G14^(1/COS((90-'12-Hypothèses'!$C$30)*PI()/180))</f>
        <v>0.39</v>
      </c>
      <c r="I14" s="1">
        <f>'12-Hypothèses'!$C$42</f>
        <v>0.7201949999999999</v>
      </c>
      <c r="J14" s="1">
        <v>1</v>
      </c>
      <c r="K14" s="1">
        <f>('12-Hypothèses'!$C$50/2)+('12-Hypothèses'!$C$50/2)*IF(A14&lt;'12-Hypothèses'!$C$51,COS((A14-'12-Hypothèses'!$C$51)*PI()/(2*('12-Hypothèses'!$C$51-'12-Hypothèses'!$C$52))),IF(A14&lt;'12-Hypothèses'!$C$53,COS((A14-'12-Hypothèses'!$C$51)*PI()/(2*('12-Hypothèses'!$C$53-'12-Hypothèses'!$C$51))),COS((PI()/2+(A14-'12-Hypothèses'!$C$53)*PI()/(2*(0.0000011-'12-Hypothèses'!$C$53))))))</f>
        <v>0.3996159857535114</v>
      </c>
      <c r="L14" s="1">
        <f t="shared" si="2"/>
        <v>145603075.55404815</v>
      </c>
    </row>
    <row r="15" spans="1:12" ht="12.75">
      <c r="A15" s="1">
        <v>3.9E-07</v>
      </c>
      <c r="B15" s="1">
        <f>2*'12-Hypothèses'!$C$58/(A15^4)/(EXP('12-Hypothèses'!$C$59*'12-Hypothèses'!$C$58/'13-BilanPhotoniqueEtoile'!A15/'12-Hypothèses'!$C$60/'12-Hypothèses'!$C$5)-1)</f>
        <v>6.643509898824324E+32</v>
      </c>
      <c r="C15" s="1">
        <f>B15*'12-Hypothèses'!$C$59*'12-Hypothèses'!$C$58/'13-BilanPhotoniqueEtoile'!A15</f>
        <v>338383915780704.5</v>
      </c>
      <c r="D15">
        <v>0.00012</v>
      </c>
      <c r="E15" s="1">
        <f t="shared" si="0"/>
        <v>27327885038449.695</v>
      </c>
      <c r="F15" s="1">
        <f t="shared" si="1"/>
        <v>1291458649.6758416</v>
      </c>
      <c r="G15" s="1">
        <v>0.41</v>
      </c>
      <c r="H15" s="1">
        <f>G15^(1/COS((90-'12-Hypothèses'!$C$30)*PI()/180))</f>
        <v>0.41</v>
      </c>
      <c r="I15" s="1">
        <f>'12-Hypothèses'!$C$42</f>
        <v>0.7201949999999999</v>
      </c>
      <c r="J15" s="1">
        <v>1</v>
      </c>
      <c r="K15" s="1">
        <f>('12-Hypothèses'!$C$50/2)+('12-Hypothèses'!$C$50/2)*IF(A15&lt;'12-Hypothèses'!$C$51,COS((A15-'12-Hypothèses'!$C$51)*PI()/(2*('12-Hypothèses'!$C$51-'12-Hypothèses'!$C$52))),IF(A15&lt;'12-Hypothèses'!$C$53,COS((A15-'12-Hypothèses'!$C$51)*PI()/(2*('12-Hypothèses'!$C$53-'12-Hypothèses'!$C$51))),COS((PI()/2+(A15-'12-Hypothèses'!$C$53)*PI()/(2*(0.0000011-'12-Hypothèses'!$C$53))))))</f>
        <v>0.45</v>
      </c>
      <c r="L15" s="1">
        <f t="shared" si="2"/>
        <v>171603830.47650748</v>
      </c>
    </row>
    <row r="16" spans="1:12" ht="12.75">
      <c r="A16" s="1">
        <v>4E-07</v>
      </c>
      <c r="B16" s="1">
        <f>2*'12-Hypothèses'!$C$58/(A16^4)/(EXP('12-Hypothèses'!$C$59*'12-Hypothèses'!$C$58/'13-BilanPhotoniqueEtoile'!A16/'12-Hypothèses'!$C$60/'12-Hypothèses'!$C$5)-1)</f>
        <v>6.600056089449852E+32</v>
      </c>
      <c r="C16" s="1">
        <f>B16*'12-Hypothèses'!$C$59*'12-Hypothèses'!$C$58/'13-BilanPhotoniqueEtoile'!A16</f>
        <v>327766351895955.44</v>
      </c>
      <c r="D16">
        <v>0.0004</v>
      </c>
      <c r="E16" s="1">
        <f t="shared" si="0"/>
        <v>88234701930391.22</v>
      </c>
      <c r="F16" s="1">
        <f t="shared" si="1"/>
        <v>1283011488.6370723</v>
      </c>
      <c r="G16" s="1">
        <v>0.43</v>
      </c>
      <c r="H16" s="1">
        <f>G16^(1/COS((90-'12-Hypothèses'!$C$30)*PI()/180))</f>
        <v>0.43</v>
      </c>
      <c r="I16" s="1">
        <f>'12-Hypothèses'!$C$42</f>
        <v>0.7201949999999999</v>
      </c>
      <c r="J16" s="1">
        <v>1</v>
      </c>
      <c r="K16" s="1">
        <f>('12-Hypothèses'!$C$50/2)+('12-Hypothèses'!$C$50/2)*IF(A16&lt;'12-Hypothèses'!$C$51,COS((A16-'12-Hypothèses'!$C$51)*PI()/(2*('12-Hypothèses'!$C$51-'12-Hypothèses'!$C$52))),IF(A16&lt;'12-Hypothèses'!$C$53,COS((A16-'12-Hypothèses'!$C$51)*PI()/(2*('12-Hypothèses'!$C$53-'12-Hypothèses'!$C$51))),COS((PI()/2+(A16-'12-Hypothèses'!$C$53)*PI()/(2*(0.0000011-'12-Hypothèses'!$C$53))))))</f>
        <v>0.5003840142464884</v>
      </c>
      <c r="L16" s="1">
        <f t="shared" si="2"/>
        <v>198816548.28616753</v>
      </c>
    </row>
    <row r="17" spans="1:12" ht="12.75">
      <c r="A17" s="1">
        <v>4.1E-07</v>
      </c>
      <c r="B17" s="1">
        <f>2*'12-Hypothèses'!$C$58/(A17^4)/(EXP('12-Hypothèses'!$C$59*'12-Hypothèses'!$C$58/'13-BilanPhotoniqueEtoile'!A17/'12-Hypothèses'!$C$60/'12-Hypothèses'!$C$5)-1)</f>
        <v>6.5445015635751E+32</v>
      </c>
      <c r="C17" s="1">
        <f>B17*'12-Hypothèses'!$C$59*'12-Hypothèses'!$C$58/'13-BilanPhotoniqueEtoile'!A17</f>
        <v>317080439465084</v>
      </c>
      <c r="D17">
        <v>0.0012</v>
      </c>
      <c r="E17" s="1">
        <f t="shared" si="0"/>
        <v>256074162912001.8</v>
      </c>
      <c r="F17" s="1">
        <f t="shared" si="1"/>
        <v>1272212020.5754254</v>
      </c>
      <c r="G17" s="1">
        <v>0.45</v>
      </c>
      <c r="H17" s="1">
        <f>G17^(1/COS((90-'12-Hypothèses'!$C$30)*PI()/180))</f>
        <v>0.45</v>
      </c>
      <c r="I17" s="1">
        <f>'12-Hypothèses'!$C$42</f>
        <v>0.7201949999999999</v>
      </c>
      <c r="J17" s="1">
        <v>1</v>
      </c>
      <c r="K17" s="1">
        <f>('12-Hypothèses'!$C$50/2)+('12-Hypothèses'!$C$50/2)*IF(A17&lt;'12-Hypothèses'!$C$51,COS((A17-'12-Hypothèses'!$C$51)*PI()/(2*('12-Hypothèses'!$C$51-'12-Hypothèses'!$C$52))),IF(A17&lt;'12-Hypothèses'!$C$53,COS((A17-'12-Hypothèses'!$C$51)*PI()/(2*('12-Hypothèses'!$C$53-'12-Hypothèses'!$C$51))),COS((PI()/2+(A17-'12-Hypothèses'!$C$53)*PI()/(2*(0.0000011-'12-Hypothèses'!$C$53))))))</f>
        <v>0.5501344202803414</v>
      </c>
      <c r="L17" s="1">
        <f t="shared" si="2"/>
        <v>226825004.8006604</v>
      </c>
    </row>
    <row r="18" spans="1:12" ht="12.75">
      <c r="A18" s="1">
        <v>4.2E-07</v>
      </c>
      <c r="B18" s="1">
        <f>2*'12-Hypothèses'!$C$58/(A18^4)/(EXP('12-Hypothèses'!$C$59*'12-Hypothèses'!$C$58/'13-BilanPhotoniqueEtoile'!A18/'12-Hypothèses'!$C$60/'12-Hypothèses'!$C$5)-1)</f>
        <v>6.47843573118848E+32</v>
      </c>
      <c r="C18" s="1">
        <f>B18*'12-Hypothèses'!$C$59*'12-Hypothèses'!$C$58/'13-BilanPhotoniqueEtoile'!A18</f>
        <v>306406233786308.25</v>
      </c>
      <c r="D18">
        <v>0.004</v>
      </c>
      <c r="E18" s="1">
        <f t="shared" si="0"/>
        <v>824845581352741.8</v>
      </c>
      <c r="F18" s="1">
        <f t="shared" si="1"/>
        <v>1259369217.3007836</v>
      </c>
      <c r="G18" s="1">
        <v>0.47</v>
      </c>
      <c r="H18" s="1">
        <f>G18^(1/COS((90-'12-Hypothèses'!$C$30)*PI()/180))</f>
        <v>0.47</v>
      </c>
      <c r="I18" s="1">
        <f>'12-Hypothèses'!$C$42</f>
        <v>0.7201949999999999</v>
      </c>
      <c r="J18" s="1">
        <v>1</v>
      </c>
      <c r="K18" s="1">
        <f>('12-Hypothèses'!$C$50/2)+('12-Hypothèses'!$C$50/2)*IF(A18&lt;'12-Hypothèses'!$C$51,COS((A18-'12-Hypothèses'!$C$51)*PI()/(2*('12-Hypothèses'!$C$51-'12-Hypothèses'!$C$52))),IF(A18&lt;'12-Hypothèses'!$C$53,COS((A18-'12-Hypothèses'!$C$51)*PI()/(2*('12-Hypothèses'!$C$53-'12-Hypothèses'!$C$51))),COS((PI()/2+(A18-'12-Hypothèses'!$C$53)*PI()/(2*(0.0000011-'12-Hypothèses'!$C$53))))))</f>
        <v>0.5986255778798251</v>
      </c>
      <c r="L18" s="1">
        <f t="shared" si="2"/>
        <v>255185681.73512432</v>
      </c>
    </row>
    <row r="19" spans="1:12" ht="12.75">
      <c r="A19" s="1">
        <v>4.3E-07</v>
      </c>
      <c r="B19" s="1">
        <f>2*'12-Hypothèses'!$C$58/(A19^4)/(EXP('12-Hypothèses'!$C$59*'12-Hypothèses'!$C$58/'13-BilanPhotoniqueEtoile'!A19/'12-Hypothèses'!$C$60/'12-Hypothèses'!$C$5)-1)</f>
        <v>6.40331335486139E+32</v>
      </c>
      <c r="C19" s="1">
        <f>B19*'12-Hypothèses'!$C$59*'12-Hypothèses'!$C$58/'13-BilanPhotoniqueEtoile'!A19</f>
        <v>295810122925367.75</v>
      </c>
      <c r="D19">
        <v>0.0116</v>
      </c>
      <c r="E19" s="1">
        <f t="shared" si="0"/>
        <v>2309330467653761</v>
      </c>
      <c r="F19" s="1">
        <f t="shared" si="1"/>
        <v>1244765875.9692695</v>
      </c>
      <c r="G19" s="1">
        <v>0.49</v>
      </c>
      <c r="H19" s="1">
        <f>G19^(1/COS((90-'12-Hypothèses'!$C$30)*PI()/180))</f>
        <v>0.49</v>
      </c>
      <c r="I19" s="1">
        <f>'12-Hypothèses'!$C$42</f>
        <v>0.7201949999999999</v>
      </c>
      <c r="J19" s="1">
        <v>1</v>
      </c>
      <c r="K19" s="1">
        <f>('12-Hypothèses'!$C$50/2)+('12-Hypothèses'!$C$50/2)*IF(A19&lt;'12-Hypothèses'!$C$51,COS((A19-'12-Hypothèses'!$C$51)*PI()/(2*('12-Hypothèses'!$C$51-'12-Hypothèses'!$C$52))),IF(A19&lt;'12-Hypothèses'!$C$53,COS((A19-'12-Hypothèses'!$C$51)*PI()/(2*('12-Hypothèses'!$C$53-'12-Hypothèses'!$C$51))),COS((PI()/2+(A19-'12-Hypothèses'!$C$53)*PI()/(2*(0.0000011-'12-Hypothèses'!$C$53))))))</f>
        <v>0.6452476826029011</v>
      </c>
      <c r="L19" s="1">
        <f t="shared" si="2"/>
        <v>283439458.39797026</v>
      </c>
    </row>
    <row r="20" spans="1:12" ht="12.75">
      <c r="A20" s="1">
        <v>4.4E-07</v>
      </c>
      <c r="B20" s="1">
        <f>2*'12-Hypothèses'!$C$58/(A20^4)/(EXP('12-Hypothèses'!$C$59*'12-Hypothèses'!$C$58/'13-BilanPhotoniqueEtoile'!A20/'12-Hypothèses'!$C$60/'12-Hypothèses'!$C$5)-1)</f>
        <v>6.320458595437042E+32</v>
      </c>
      <c r="C20" s="1">
        <f>B20*'12-Hypothèses'!$C$59*'12-Hypothèses'!$C$58/'13-BilanPhotoniqueEtoile'!A20</f>
        <v>285346563458801.1</v>
      </c>
      <c r="D20">
        <v>0.023</v>
      </c>
      <c r="E20" s="1">
        <f t="shared" si="0"/>
        <v>4416879455778782.5</v>
      </c>
      <c r="F20" s="1">
        <f t="shared" si="1"/>
        <v>1228659405.5409918</v>
      </c>
      <c r="G20" s="1">
        <v>0.51</v>
      </c>
      <c r="H20" s="1">
        <f>G20^(1/COS((90-'12-Hypothèses'!$C$30)*PI()/180))</f>
        <v>0.51</v>
      </c>
      <c r="I20" s="1">
        <f>'12-Hypothèses'!$C$42</f>
        <v>0.7201949999999999</v>
      </c>
      <c r="J20" s="1">
        <v>1</v>
      </c>
      <c r="K20" s="1">
        <f>('12-Hypothèses'!$C$50/2)+('12-Hypothèses'!$C$50/2)*IF(A20&lt;'12-Hypothèses'!$C$51,COS((A20-'12-Hypothèses'!$C$51)*PI()/(2*('12-Hypothèses'!$C$51-'12-Hypothèses'!$C$52))),IF(A20&lt;'12-Hypothèses'!$C$53,COS((A20-'12-Hypothèses'!$C$51)*PI()/(2*('12-Hypothèses'!$C$53-'12-Hypothèses'!$C$51))),COS((PI()/2+(A20-'12-Hypothèses'!$C$53)*PI()/(2*(0.0000011-'12-Hypothèses'!$C$53))))))</f>
        <v>0.6894144344319015</v>
      </c>
      <c r="L20" s="1">
        <f t="shared" si="2"/>
        <v>311123029.98744893</v>
      </c>
    </row>
    <row r="21" spans="1:12" ht="12.75">
      <c r="A21" s="1">
        <v>4.5E-07</v>
      </c>
      <c r="B21" s="1">
        <f>2*'12-Hypothèses'!$C$58/(A21^4)/(EXP('12-Hypothèses'!$C$59*'12-Hypothèses'!$C$58/'13-BilanPhotoniqueEtoile'!A21/'12-Hypothèses'!$C$60/'12-Hypothèses'!$C$5)-1)</f>
        <v>6.231070799665018E+32</v>
      </c>
      <c r="C21" s="1">
        <f>B21*'12-Hypothèses'!$C$59*'12-Hypothèses'!$C$58/'13-BilanPhotoniqueEtoile'!A21</f>
        <v>275059661679916.4</v>
      </c>
      <c r="D21">
        <v>0.038</v>
      </c>
      <c r="E21" s="1">
        <f t="shared" si="0"/>
        <v>7034375787802181</v>
      </c>
      <c r="F21" s="1">
        <f t="shared" si="1"/>
        <v>1211282951.8616397</v>
      </c>
      <c r="G21" s="1">
        <v>0.525</v>
      </c>
      <c r="H21" s="1">
        <f>G21^(1/COS((90-'12-Hypothèses'!$C$30)*PI()/180))</f>
        <v>0.525</v>
      </c>
      <c r="I21" s="1">
        <f>'12-Hypothèses'!$C$42</f>
        <v>0.7201949999999999</v>
      </c>
      <c r="J21" s="1">
        <v>1</v>
      </c>
      <c r="K21" s="1">
        <f>('12-Hypothèses'!$C$50/2)+('12-Hypothèses'!$C$50/2)*IF(A21&lt;'12-Hypothèses'!$C$51,COS((A21-'12-Hypothèses'!$C$51)*PI()/(2*('12-Hypothèses'!$C$51-'12-Hypothèses'!$C$52))),IF(A21&lt;'12-Hypothèses'!$C$53,COS((A21-'12-Hypothèses'!$C$51)*PI()/(2*('12-Hypothèses'!$C$53-'12-Hypothèses'!$C$51))),COS((PI()/2+(A21-'12-Hypothèses'!$C$53)*PI()/(2*(0.0000011-'12-Hypothèses'!$C$53))))))</f>
        <v>0.7305704108364299</v>
      </c>
      <c r="L21" s="1">
        <f t="shared" si="2"/>
        <v>334593183.3202648</v>
      </c>
    </row>
    <row r="22" spans="1:12" ht="12.75">
      <c r="A22" s="1">
        <v>4.6E-07</v>
      </c>
      <c r="B22" s="1">
        <f>2*'12-Hypothèses'!$C$58/(A22^4)/(EXP('12-Hypothèses'!$C$59*'12-Hypothèses'!$C$58/'13-BilanPhotoniqueEtoile'!A22/'12-Hypothèses'!$C$60/'12-Hypothèses'!$C$5)-1)</f>
        <v>6.136231421231534E+32</v>
      </c>
      <c r="C22" s="1">
        <f>B22*'12-Hypothèses'!$C$59*'12-Hypothèses'!$C$58/'13-BilanPhotoniqueEtoile'!A22</f>
        <v>264984597504618.78</v>
      </c>
      <c r="D22">
        <v>0.06</v>
      </c>
      <c r="E22" s="1">
        <f t="shared" si="0"/>
        <v>10700078047236506</v>
      </c>
      <c r="F22" s="1">
        <f t="shared" si="1"/>
        <v>1192846743.0694351</v>
      </c>
      <c r="G22" s="1">
        <v>0.54</v>
      </c>
      <c r="H22" s="1">
        <f>G22^(1/COS((90-'12-Hypothèses'!$C$30)*PI()/180))</f>
        <v>0.54</v>
      </c>
      <c r="I22" s="1">
        <f>'12-Hypothèses'!$C$42</f>
        <v>0.7201949999999999</v>
      </c>
      <c r="J22" s="1">
        <v>1</v>
      </c>
      <c r="K22" s="1">
        <f>('12-Hypothèses'!$C$50/2)+('12-Hypothèses'!$C$50/2)*IF(A22&lt;'12-Hypothèses'!$C$51,COS((A22-'12-Hypothèses'!$C$51)*PI()/(2*('12-Hypothèses'!$C$51-'12-Hypothèses'!$C$52))),IF(A22&lt;'12-Hypothèses'!$C$53,COS((A22-'12-Hypothèses'!$C$51)*PI()/(2*('12-Hypothèses'!$C$53-'12-Hypothèses'!$C$51))),COS((PI()/2+(A22-'12-Hypothèses'!$C$53)*PI()/(2*(0.0000011-'12-Hypothèses'!$C$53))))))</f>
        <v>0.7681980515339464</v>
      </c>
      <c r="L22" s="1">
        <f t="shared" si="2"/>
        <v>356370471.9010732</v>
      </c>
    </row>
    <row r="23" spans="1:12" ht="12.75">
      <c r="A23" s="1">
        <v>4.7E-07</v>
      </c>
      <c r="B23" s="1">
        <f>2*'12-Hypothèses'!$C$58/(A23^4)/(EXP('12-Hypothèses'!$C$59*'12-Hypothèses'!$C$58/'13-BilanPhotoniqueEtoile'!A23/'12-Hypothèses'!$C$60/'12-Hypothèses'!$C$5)-1)</f>
        <v>6.036911607993364E+32</v>
      </c>
      <c r="C23" s="1">
        <f>B23*'12-Hypothèses'!$C$59*'12-Hypothèses'!$C$58/'13-BilanPhotoniqueEtoile'!A23</f>
        <v>255148894758993.5</v>
      </c>
      <c r="D23">
        <v>0.091</v>
      </c>
      <c r="E23" s="1">
        <f t="shared" si="0"/>
        <v>15626083761725038</v>
      </c>
      <c r="F23" s="1">
        <f t="shared" si="1"/>
        <v>1173539564.5080962</v>
      </c>
      <c r="G23" s="1">
        <v>0.555</v>
      </c>
      <c r="H23" s="1">
        <f>G23^(1/COS((90-'12-Hypothèses'!$C$30)*PI()/180))</f>
        <v>0.555</v>
      </c>
      <c r="I23" s="1">
        <f>'12-Hypothèses'!$C$42</f>
        <v>0.7201949999999999</v>
      </c>
      <c r="J23" s="1">
        <v>1</v>
      </c>
      <c r="K23" s="1">
        <f>('12-Hypothèses'!$C$50/2)+('12-Hypothèses'!$C$50/2)*IF(A23&lt;'12-Hypothèses'!$C$51,COS((A23-'12-Hypothèses'!$C$51)*PI()/(2*('12-Hypothèses'!$C$51-'12-Hypothèses'!$C$52))),IF(A23&lt;'12-Hypothèses'!$C$53,COS((A23-'12-Hypothèses'!$C$51)*PI()/(2*('12-Hypothèses'!$C$53-'12-Hypothèses'!$C$51))),COS((PI()/2+(A23-'12-Hypothèses'!$C$53)*PI()/(2*(0.0000011-'12-Hypothèses'!$C$53))))))</f>
        <v>0.8018241671106134</v>
      </c>
      <c r="L23" s="1">
        <f t="shared" si="2"/>
        <v>376114401.335915</v>
      </c>
    </row>
    <row r="24" spans="1:12" ht="12.75">
      <c r="A24" s="1">
        <v>4.8E-07</v>
      </c>
      <c r="B24" s="1">
        <f>2*'12-Hypothèses'!$C$58/(A24^4)/(EXP('12-Hypothèses'!$C$59*'12-Hypothèses'!$C$58/'13-BilanPhotoniqueEtoile'!A24/'12-Hypothèses'!$C$60/'12-Hypothèses'!$C$5)-1)</f>
        <v>5.9339801023967984E+32</v>
      </c>
      <c r="C24" s="1">
        <f>B24*'12-Hypothèses'!$C$59*'12-Hypothèses'!$C$58/'13-BilanPhotoniqueEtoile'!A24</f>
        <v>245573545641881.2</v>
      </c>
      <c r="D24">
        <v>0.139</v>
      </c>
      <c r="E24" s="1">
        <f t="shared" si="0"/>
        <v>22972668474161060</v>
      </c>
      <c r="F24" s="1">
        <f t="shared" si="1"/>
        <v>1153530294.5211024</v>
      </c>
      <c r="G24" s="1">
        <v>0.5655</v>
      </c>
      <c r="H24" s="1">
        <f>G24^(1/COS((90-'12-Hypothèses'!$C$30)*PI()/180))</f>
        <v>0.5655</v>
      </c>
      <c r="I24" s="1">
        <f>'12-Hypothèses'!$C$42</f>
        <v>0.7201949999999999</v>
      </c>
      <c r="J24" s="1">
        <v>1</v>
      </c>
      <c r="K24" s="1">
        <f>('12-Hypothèses'!$C$50/2)+('12-Hypothèses'!$C$50/2)*IF(A24&lt;'12-Hypothèses'!$C$51,COS((A24-'12-Hypothèses'!$C$51)*PI()/(2*('12-Hypothèses'!$C$51-'12-Hypothèses'!$C$52))),IF(A24&lt;'12-Hypothèses'!$C$53,COS((A24-'12-Hypothèses'!$C$51)*PI()/(2*('12-Hypothèses'!$C$53-'12-Hypothèses'!$C$51))),COS((PI()/2+(A24-'12-Hypothèses'!$C$53)*PI()/(2*(0.0000011-'12-Hypothèses'!$C$53))))))</f>
        <v>0.8310258896527277</v>
      </c>
      <c r="L24" s="1">
        <f t="shared" si="2"/>
        <v>390414797.35081506</v>
      </c>
    </row>
    <row r="25" spans="1:12" ht="12.75">
      <c r="A25" s="1">
        <v>4.9E-07</v>
      </c>
      <c r="B25" s="1">
        <f>2*'12-Hypothèses'!$C$58/(A25^4)/(EXP('12-Hypothèses'!$C$59*'12-Hypothèses'!$C$58/'13-BilanPhotoniqueEtoile'!A25/'12-Hypothèses'!$C$60/'12-Hypothèses'!$C$5)-1)</f>
        <v>5.8282111932725125E+32</v>
      </c>
      <c r="C25" s="1">
        <f>B25*'12-Hypothèses'!$C$59*'12-Hypothèses'!$C$58/'13-BilanPhotoniqueEtoile'!A25</f>
        <v>236273999580922.4</v>
      </c>
      <c r="D25">
        <v>0.208</v>
      </c>
      <c r="E25" s="1">
        <f t="shared" si="0"/>
        <v>33074579557335840</v>
      </c>
      <c r="F25" s="1">
        <f t="shared" si="1"/>
        <v>1132969450.233129</v>
      </c>
      <c r="G25" s="1">
        <v>0.575</v>
      </c>
      <c r="H25" s="1">
        <f>G25^(1/COS((90-'12-Hypothèses'!$C$30)*PI()/180))</f>
        <v>0.575</v>
      </c>
      <c r="I25" s="1">
        <f>'12-Hypothèses'!$C$42</f>
        <v>0.7201949999999999</v>
      </c>
      <c r="J25" s="1">
        <v>1</v>
      </c>
      <c r="K25" s="1">
        <f>('12-Hypothèses'!$C$50/2)+('12-Hypothèses'!$C$50/2)*IF(A25&lt;'12-Hypothèses'!$C$51,COS((A25-'12-Hypothèses'!$C$51)*PI()/(2*('12-Hypothèses'!$C$51-'12-Hypothèses'!$C$52))),IF(A25&lt;'12-Hypothèses'!$C$53,COS((A25-'12-Hypothèses'!$C$51)*PI()/(2*('12-Hypothèses'!$C$53-'12-Hypothèses'!$C$51))),COS((PI()/2+(A25-'12-Hypothèses'!$C$53)*PI()/(2*(0.0000011-'12-Hypothèses'!$C$53))))))</f>
        <v>0.8554359905560885</v>
      </c>
      <c r="L25" s="1">
        <f t="shared" si="2"/>
        <v>401350367.0133806</v>
      </c>
    </row>
    <row r="26" spans="1:12" ht="12.75">
      <c r="A26" s="1">
        <v>5E-07</v>
      </c>
      <c r="B26" s="1">
        <f>2*'12-Hypothèses'!$C$58/(A26^4)/(EXP('12-Hypothèses'!$C$59*'12-Hypothèses'!$C$58/'13-BilanPhotoniqueEtoile'!A26/'12-Hypothèses'!$C$60/'12-Hypothèses'!$C$5)-1)</f>
        <v>5.720292529305995E+32</v>
      </c>
      <c r="C26" s="1">
        <f>B26*'12-Hypothèses'!$C$59*'12-Hypothèses'!$C$58/'13-BilanPhotoniqueEtoile'!A26</f>
        <v>227261027930397.22</v>
      </c>
      <c r="D26">
        <v>0.323</v>
      </c>
      <c r="E26" s="1">
        <f t="shared" si="0"/>
        <v>49401774990481816</v>
      </c>
      <c r="F26" s="1">
        <f t="shared" si="1"/>
        <v>1111990706.4420369</v>
      </c>
      <c r="G26" s="1">
        <v>0.585</v>
      </c>
      <c r="H26" s="1">
        <f>G26^(1/COS((90-'12-Hypothèses'!$C$30)*PI()/180))</f>
        <v>0.585</v>
      </c>
      <c r="I26" s="1">
        <f>'12-Hypothèses'!$C$42</f>
        <v>0.7201949999999999</v>
      </c>
      <c r="J26" s="1">
        <v>1</v>
      </c>
      <c r="K26" s="1">
        <f>('12-Hypothèses'!$C$50/2)+('12-Hypothèses'!$C$50/2)*IF(A26&lt;'12-Hypothèses'!$C$51,COS((A26-'12-Hypothèses'!$C$51)*PI()/(2*('12-Hypothèses'!$C$51-'12-Hypothèses'!$C$52))),IF(A26&lt;'12-Hypothèses'!$C$53,COS((A26-'12-Hypothèses'!$C$51)*PI()/(2*('12-Hypothèses'!$C$53-'12-Hypothèses'!$C$51))),COS((PI()/2+(A26-'12-Hypothèses'!$C$53)*PI()/(2*(0.0000011-'12-Hypothèses'!$C$53))))))</f>
        <v>0.8747474986387653</v>
      </c>
      <c r="L26" s="1">
        <f t="shared" si="2"/>
        <v>409816872.6915225</v>
      </c>
    </row>
    <row r="27" spans="1:12" ht="12.75">
      <c r="A27" s="1">
        <v>5.1E-07</v>
      </c>
      <c r="B27" s="1">
        <f>2*'12-Hypothèses'!$C$58/(A27^4)/(EXP('12-Hypothèses'!$C$59*'12-Hypothèses'!$C$58/'13-BilanPhotoniqueEtoile'!A27/'12-Hypothèses'!$C$60/'12-Hypothèses'!$C$5)-1)</f>
        <v>5.610832660907729E+32</v>
      </c>
      <c r="C27" s="1">
        <f>B27*'12-Hypothèses'!$C$59*'12-Hypothèses'!$C$58/'13-BilanPhotoniqueEtoile'!A27</f>
        <v>218541476361099.2</v>
      </c>
      <c r="D27">
        <v>0.503</v>
      </c>
      <c r="E27" s="1">
        <f t="shared" si="0"/>
        <v>73980442036282930</v>
      </c>
      <c r="F27" s="1">
        <f t="shared" si="1"/>
        <v>1090712361.7133963</v>
      </c>
      <c r="G27" s="1">
        <v>0.6</v>
      </c>
      <c r="H27" s="1">
        <f>G27^(1/COS((90-'12-Hypothèses'!$C$30)*PI()/180))</f>
        <v>0.6</v>
      </c>
      <c r="I27" s="1">
        <f>'12-Hypothèses'!$C$42</f>
        <v>0.7201949999999999</v>
      </c>
      <c r="J27" s="1">
        <v>1</v>
      </c>
      <c r="K27" s="1">
        <f>('12-Hypothèses'!$C$50/2)+('12-Hypothèses'!$C$50/2)*IF(A27&lt;'12-Hypothèses'!$C$51,COS((A27-'12-Hypothèses'!$C$51)*PI()/(2*('12-Hypothèses'!$C$51-'12-Hypothèses'!$C$52))),IF(A27&lt;'12-Hypothèses'!$C$53,COS((A27-'12-Hypothèses'!$C$51)*PI()/(2*('12-Hypothèses'!$C$53-'12-Hypothèses'!$C$51))),COS((PI()/2+(A27-'12-Hypothèses'!$C$53)*PI()/(2*(0.0000011-'12-Hypothèses'!$C$53))))))</f>
        <v>0.8887175604818206</v>
      </c>
      <c r="L27" s="1">
        <f t="shared" si="2"/>
        <v>418866231.2748021</v>
      </c>
    </row>
    <row r="28" spans="1:12" ht="12.75">
      <c r="A28" s="1">
        <v>5.2E-07</v>
      </c>
      <c r="B28" s="1">
        <f>2*'12-Hypothèses'!$C$58/(A28^4)/(EXP('12-Hypothèses'!$C$59*'12-Hypothèses'!$C$58/'13-BilanPhotoniqueEtoile'!A28/'12-Hypothèses'!$C$60/'12-Hypothèses'!$C$5)-1)</f>
        <v>5.500368220891074E+32</v>
      </c>
      <c r="C28" s="1">
        <f>B28*'12-Hypothèses'!$C$59*'12-Hypothèses'!$C$58/'13-BilanPhotoniqueEtoile'!A28</f>
        <v>210118916638128.8</v>
      </c>
      <c r="D28">
        <v>0.71</v>
      </c>
      <c r="E28" s="1">
        <f t="shared" si="0"/>
        <v>1.0040112193719707E+17</v>
      </c>
      <c r="F28" s="1">
        <f t="shared" si="1"/>
        <v>1069238734.2613844</v>
      </c>
      <c r="G28" s="1">
        <v>0.61</v>
      </c>
      <c r="H28" s="1">
        <f>G28^(1/COS((90-'12-Hypothèses'!$C$30)*PI()/180))</f>
        <v>0.61</v>
      </c>
      <c r="I28" s="1">
        <f>'12-Hypothèses'!$C$42</f>
        <v>0.7201949999999999</v>
      </c>
      <c r="J28" s="1">
        <v>1</v>
      </c>
      <c r="K28" s="1">
        <f>('12-Hypothèses'!$C$50/2)+('12-Hypothèses'!$C$50/2)*IF(A28&lt;'12-Hypothèses'!$C$51,COS((A28-'12-Hypothèses'!$C$51)*PI()/(2*('12-Hypothèses'!$C$51-'12-Hypothèses'!$C$52))),IF(A28&lt;'12-Hypothèses'!$C$53,COS((A28-'12-Hypothèses'!$C$51)*PI()/(2*('12-Hypothèses'!$C$53-'12-Hypothèses'!$C$51))),COS((PI()/2+(A28-'12-Hypothèses'!$C$53)*PI()/(2*(0.0000011-'12-Hypothèses'!$C$53))))))</f>
        <v>0.8971704944519592</v>
      </c>
      <c r="L28" s="1">
        <f t="shared" si="2"/>
        <v>421434031.24219704</v>
      </c>
    </row>
    <row r="29" spans="1:12" ht="12.75">
      <c r="A29" s="1">
        <v>5.3E-07</v>
      </c>
      <c r="B29" s="1">
        <f>2*'12-Hypothèses'!$C$58/(A29^4)/(EXP('12-Hypothèses'!$C$59*'12-Hypothèses'!$C$58/'13-BilanPhotoniqueEtoile'!A29/'12-Hypothèses'!$C$60/'12-Hypothèses'!$C$5)-1)</f>
        <v>5.3893706877978114E+32</v>
      </c>
      <c r="C29" s="1">
        <f>B29*'12-Hypothèses'!$C$59*'12-Hypothèses'!$C$58/'13-BilanPhotoniqueEtoile'!A29</f>
        <v>201994208970110.1</v>
      </c>
      <c r="D29">
        <v>0.862</v>
      </c>
      <c r="E29" s="1">
        <f t="shared" si="0"/>
        <v>1.171820924729941E+17</v>
      </c>
      <c r="F29" s="1">
        <f t="shared" si="1"/>
        <v>1047661476.6988808</v>
      </c>
      <c r="G29" s="1">
        <v>0.62</v>
      </c>
      <c r="H29" s="1">
        <f>G29^(1/COS((90-'12-Hypothèses'!$C$30)*PI()/180))</f>
        <v>0.62</v>
      </c>
      <c r="I29" s="1">
        <f>'12-Hypothèses'!$C$42</f>
        <v>0.7201949999999999</v>
      </c>
      <c r="J29" s="1">
        <v>1</v>
      </c>
      <c r="K29" s="1">
        <f>('12-Hypothèses'!$C$50/2)+('12-Hypothèses'!$C$50/2)*IF(A29&lt;'12-Hypothèses'!$C$51,COS((A29-'12-Hypothèses'!$C$51)*PI()/(2*('12-Hypothèses'!$C$51-'12-Hypothèses'!$C$52))),IF(A29&lt;'12-Hypothèses'!$C$53,COS((A29-'12-Hypothèses'!$C$51)*PI()/(2*('12-Hypothèses'!$C$53-'12-Hypothèses'!$C$51))),COS((PI()/2+(A29-'12-Hypothèses'!$C$53)*PI()/(2*(0.0000011-'12-Hypothèses'!$C$53))))))</f>
        <v>0.9</v>
      </c>
      <c r="L29" s="1">
        <f t="shared" si="2"/>
        <v>421022470.9238219</v>
      </c>
    </row>
    <row r="30" spans="1:12" ht="12.75">
      <c r="A30" s="1">
        <v>5.4E-07</v>
      </c>
      <c r="B30" s="1">
        <f>2*'12-Hypothèses'!$C$58/(A30^4)/(EXP('12-Hypothèses'!$C$59*'12-Hypothèses'!$C$58/'13-BilanPhotoniqueEtoile'!A30/'12-Hypothèses'!$C$60/'12-Hypothèses'!$C$5)-1)</f>
        <v>5.278252700966194E+32</v>
      </c>
      <c r="C30" s="1">
        <f>B30*'12-Hypothèses'!$C$59*'12-Hypothèses'!$C$58/'13-BilanPhotoniqueEtoile'!A30</f>
        <v>194165985385545.16</v>
      </c>
      <c r="D30">
        <v>0.954</v>
      </c>
      <c r="E30" s="1">
        <f t="shared" si="0"/>
        <v>1.2466271758890618E+17</v>
      </c>
      <c r="F30" s="1">
        <f t="shared" si="1"/>
        <v>1026060803.6489837</v>
      </c>
      <c r="G30" s="1">
        <v>0.628</v>
      </c>
      <c r="H30" s="1">
        <f>G30^(1/COS((90-'12-Hypothèses'!$C$30)*PI()/180))</f>
        <v>0.628</v>
      </c>
      <c r="I30" s="1">
        <f>'12-Hypothèses'!$C$42</f>
        <v>0.7201949999999999</v>
      </c>
      <c r="J30" s="1">
        <v>1</v>
      </c>
      <c r="K30" s="1">
        <f>('12-Hypothèses'!$C$50/2)+('12-Hypothèses'!$C$50/2)*IF(A30&lt;'12-Hypothèses'!$C$51,COS((A30-'12-Hypothèses'!$C$51)*PI()/(2*('12-Hypothèses'!$C$51-'12-Hypothèses'!$C$52))),IF(A30&lt;'12-Hypothèses'!$C$53,COS((A30-'12-Hypothèses'!$C$51)*PI()/(2*('12-Hypothèses'!$C$53-'12-Hypothèses'!$C$51))),COS((PI()/2+(A30-'12-Hypothèses'!$C$53)*PI()/(2*(0.0000011-'12-Hypothèses'!$C$53))))))</f>
        <v>0.8992386712220707</v>
      </c>
      <c r="L30" s="1">
        <f t="shared" si="2"/>
        <v>417309064.6291643</v>
      </c>
    </row>
    <row r="31" spans="1:12" ht="12.75">
      <c r="A31" s="1">
        <v>5.5E-07</v>
      </c>
      <c r="B31" s="1">
        <f>2*'12-Hypothèses'!$C$58/(A31^4)/(EXP('12-Hypothèses'!$C$59*'12-Hypothèses'!$C$58/'13-BilanPhotoniqueEtoile'!A31/'12-Hypothèses'!$C$60/'12-Hypothèses'!$C$5)-1)</f>
        <v>5.167373915221045E+32</v>
      </c>
      <c r="C31" s="1">
        <f>B31*'12-Hypothèses'!$C$59*'12-Hypothèses'!$C$58/'13-BilanPhotoniqueEtoile'!A31</f>
        <v>186631063749641.53</v>
      </c>
      <c r="D31">
        <v>0.995</v>
      </c>
      <c r="E31" s="1">
        <f t="shared" si="0"/>
        <v>1.249746923739912E+17</v>
      </c>
      <c r="F31" s="1">
        <f t="shared" si="1"/>
        <v>1004506629.8618011</v>
      </c>
      <c r="G31" s="1">
        <v>0.635</v>
      </c>
      <c r="H31" s="1">
        <f>G31^(1/COS((90-'12-Hypothèses'!$C$30)*PI()/180))</f>
        <v>0.635</v>
      </c>
      <c r="I31" s="1">
        <f>'12-Hypothèses'!$C$42</f>
        <v>0.7201949999999999</v>
      </c>
      <c r="J31" s="1">
        <v>1</v>
      </c>
      <c r="K31" s="1">
        <f>('12-Hypothèses'!$C$50/2)+('12-Hypothèses'!$C$50/2)*IF(A31&lt;'12-Hypothèses'!$C$51,COS((A31-'12-Hypothèses'!$C$51)*PI()/(2*('12-Hypothèses'!$C$51-'12-Hypothèses'!$C$52))),IF(A31&lt;'12-Hypothèses'!$C$53,COS((A31-'12-Hypothèses'!$C$51)*PI()/(2*('12-Hypothèses'!$C$53-'12-Hypothèses'!$C$51))),COS((PI()/2+(A31-'12-Hypothèses'!$C$53)*PI()/(2*(0.0000011-'12-Hypothèses'!$C$53))))))</f>
        <v>0.8969572609838744</v>
      </c>
      <c r="L31" s="1">
        <f t="shared" si="2"/>
        <v>412048544.6880313</v>
      </c>
    </row>
    <row r="32" spans="1:12" ht="12.75">
      <c r="A32" s="1">
        <v>5.6E-07</v>
      </c>
      <c r="B32" s="1">
        <f>2*'12-Hypothèses'!$C$58/(A32^4)/(EXP('12-Hypothèses'!$C$59*'12-Hypothèses'!$C$58/'13-BilanPhotoniqueEtoile'!A32/'12-Hypothèses'!$C$60/'12-Hypothèses'!$C$5)-1)</f>
        <v>5.05704639677254E+32</v>
      </c>
      <c r="C32" s="1">
        <f>B32*'12-Hypothèses'!$C$59*'12-Hypothèses'!$C$58/'13-BilanPhotoniqueEtoile'!A32</f>
        <v>179384801147834.44</v>
      </c>
      <c r="D32">
        <v>0.995</v>
      </c>
      <c r="E32" s="1">
        <f t="shared" si="0"/>
        <v>1.201223413166301E+17</v>
      </c>
      <c r="F32" s="1">
        <f t="shared" si="1"/>
        <v>983059619.14495</v>
      </c>
      <c r="G32" s="1">
        <v>0.64</v>
      </c>
      <c r="H32" s="1">
        <f>G32^(1/COS((90-'12-Hypothèses'!$C$30)*PI()/180))</f>
        <v>0.64</v>
      </c>
      <c r="I32" s="1">
        <f>'12-Hypothèses'!$C$42</f>
        <v>0.7201949999999999</v>
      </c>
      <c r="J32" s="1">
        <v>1</v>
      </c>
      <c r="K32" s="1">
        <f>('12-Hypothèses'!$C$50/2)+('12-Hypothèses'!$C$50/2)*IF(A32&lt;'12-Hypothèses'!$C$51,COS((A32-'12-Hypothèses'!$C$51)*PI()/(2*('12-Hypothèses'!$C$51-'12-Hypothèses'!$C$52))),IF(A32&lt;'12-Hypothèses'!$C$53,COS((A32-'12-Hypothèses'!$C$51)*PI()/(2*('12-Hypothèses'!$C$53-'12-Hypothèses'!$C$51))),COS((PI()/2+(A32-'12-Hypothèses'!$C$53)*PI()/(2*(0.0000011-'12-Hypothèses'!$C$53))))))</f>
        <v>0.8931634888554936</v>
      </c>
      <c r="L32" s="1">
        <f t="shared" si="2"/>
        <v>404707166.10734737</v>
      </c>
    </row>
    <row r="33" spans="1:12" ht="12.75">
      <c r="A33" s="1">
        <v>5.7E-07</v>
      </c>
      <c r="B33" s="1">
        <f>2*'12-Hypothèses'!$C$58/(A33^4)/(EXP('12-Hypothèses'!$C$59*'12-Hypothèses'!$C$58/'13-BilanPhotoniqueEtoile'!A33/'12-Hypothèses'!$C$60/'12-Hypothèses'!$C$5)-1)</f>
        <v>4.9475395716645866E+32</v>
      </c>
      <c r="C33" s="1">
        <f>B33*'12-Hypothèses'!$C$59*'12-Hypothèses'!$C$58/'13-BilanPhotoniqueEtoile'!A33</f>
        <v>172421394477429.88</v>
      </c>
      <c r="D33">
        <v>0.952</v>
      </c>
      <c r="E33" s="1">
        <f t="shared" si="0"/>
        <v>1.104696977561114E+17</v>
      </c>
      <c r="F33" s="1">
        <f t="shared" si="1"/>
        <v>961772146.3123689</v>
      </c>
      <c r="G33" s="1">
        <v>0.645</v>
      </c>
      <c r="H33" s="1">
        <f>G33^(1/COS((90-'12-Hypothèses'!$C$30)*PI()/180))</f>
        <v>0.645</v>
      </c>
      <c r="I33" s="1">
        <f>'12-Hypothèses'!$C$42</f>
        <v>0.7201949999999999</v>
      </c>
      <c r="J33" s="1">
        <v>1</v>
      </c>
      <c r="K33" s="1">
        <f>('12-Hypothèses'!$C$50/2)+('12-Hypothèses'!$C$50/2)*IF(A33&lt;'12-Hypothèses'!$C$51,COS((A33-'12-Hypothèses'!$C$51)*PI()/(2*('12-Hypothèses'!$C$51-'12-Hypothèses'!$C$52))),IF(A33&lt;'12-Hypothèses'!$C$53,COS((A33-'12-Hypothèses'!$C$51)*PI()/(2*('12-Hypothèses'!$C$53-'12-Hypothèses'!$C$51))),COS((PI()/2+(A33-'12-Hypothèses'!$C$53)*PI()/(2*(0.0000011-'12-Hypothèses'!$C$53))))))</f>
        <v>0.8878701917609207</v>
      </c>
      <c r="L33" s="1">
        <f t="shared" si="2"/>
        <v>396671946.89450055</v>
      </c>
    </row>
    <row r="34" spans="1:12" ht="12.75">
      <c r="A34" s="1">
        <v>5.8E-07</v>
      </c>
      <c r="B34" s="1">
        <f>2*'12-Hypothèses'!$C$58/(A34^4)/(EXP('12-Hypothèses'!$C$59*'12-Hypothèses'!$C$58/'13-BilanPhotoniqueEtoile'!A34/'12-Hypothèses'!$C$60/'12-Hypothèses'!$C$5)-1)</f>
        <v>4.839084744817598E+32</v>
      </c>
      <c r="C34" s="1">
        <f>B34*'12-Hypothèses'!$C$59*'12-Hypothèses'!$C$58/'13-BilanPhotoniqueEtoile'!A34</f>
        <v>165734135236818.94</v>
      </c>
      <c r="D34">
        <v>0.87</v>
      </c>
      <c r="E34" s="1">
        <f t="shared" si="0"/>
        <v>97038993522509860</v>
      </c>
      <c r="F34" s="1">
        <f t="shared" si="1"/>
        <v>940689175.6592468</v>
      </c>
      <c r="G34" s="1">
        <v>0.65</v>
      </c>
      <c r="H34" s="1">
        <f>G34^(1/COS((90-'12-Hypothèses'!$C$30)*PI()/180))</f>
        <v>0.65</v>
      </c>
      <c r="I34" s="1">
        <f>'12-Hypothèses'!$C$42</f>
        <v>0.7201949999999999</v>
      </c>
      <c r="J34" s="1">
        <v>1</v>
      </c>
      <c r="K34" s="1">
        <f>('12-Hypothèses'!$C$50/2)+('12-Hypothèses'!$C$50/2)*IF(A34&lt;'12-Hypothèses'!$C$51,COS((A34-'12-Hypothèses'!$C$51)*PI()/(2*('12-Hypothèses'!$C$51-'12-Hypothèses'!$C$52))),IF(A34&lt;'12-Hypothèses'!$C$53,COS((A34-'12-Hypothèses'!$C$51)*PI()/(2*('12-Hypothèses'!$C$53-'12-Hypothèses'!$C$51))),COS((PI()/2+(A34-'12-Hypothèses'!$C$53)*PI()/(2*(0.0000011-'12-Hypothèses'!$C$53))))))</f>
        <v>0.8810952805419701</v>
      </c>
      <c r="L34" s="1">
        <f t="shared" si="2"/>
        <v>388000674.24849963</v>
      </c>
    </row>
    <row r="35" spans="1:12" ht="12.75">
      <c r="A35" s="1">
        <v>5.9E-07</v>
      </c>
      <c r="B35" s="1">
        <f>2*'12-Hypothèses'!$C$58/(A35^4)/(EXP('12-Hypothèses'!$C$59*'12-Hypothèses'!$C$58/'13-BilanPhotoniqueEtoile'!A35/'12-Hypothèses'!$C$60/'12-Hypothèses'!$C$5)-1)</f>
        <v>4.73187921208326E+32</v>
      </c>
      <c r="C35" s="1">
        <f>B35*'12-Hypothèses'!$C$59*'12-Hypothèses'!$C$58/'13-BilanPhotoniqueEtoile'!A35</f>
        <v>159315624701219.12</v>
      </c>
      <c r="D35">
        <v>0.757</v>
      </c>
      <c r="E35" s="1">
        <f aca="true" t="shared" si="3" ref="E35:E66">C35*D35*673</f>
        <v>81165097475907790</v>
      </c>
      <c r="F35" s="1">
        <f aca="true" t="shared" si="4" ref="F35:F66">B35*$E$90</f>
        <v>919849060.320912</v>
      </c>
      <c r="G35" s="1">
        <v>0.655</v>
      </c>
      <c r="H35" s="1">
        <f>G35^(1/COS((90-'12-Hypothèses'!$C$30)*PI()/180))</f>
        <v>0.655</v>
      </c>
      <c r="I35" s="1">
        <f>'12-Hypothèses'!$C$42</f>
        <v>0.7201949999999999</v>
      </c>
      <c r="J35" s="1">
        <v>1</v>
      </c>
      <c r="K35" s="1">
        <f>('12-Hypothèses'!$C$50/2)+('12-Hypothèses'!$C$50/2)*IF(A35&lt;'12-Hypothèses'!$C$51,COS((A35-'12-Hypothèses'!$C$51)*PI()/(2*('12-Hypothèses'!$C$51-'12-Hypothèses'!$C$52))),IF(A35&lt;'12-Hypothèses'!$C$53,COS((A35-'12-Hypothèses'!$C$51)*PI()/(2*('12-Hypothèses'!$C$53-'12-Hypothèses'!$C$51))),COS((PI()/2+(A35-'12-Hypothèses'!$C$53)*PI()/(2*(0.0000011-'12-Hypothèses'!$C$53))))))</f>
        <v>0.8728616793536588</v>
      </c>
      <c r="L35" s="1">
        <f aca="true" t="shared" si="5" ref="L35:L66">F35*H35*I35*J35*K35</f>
        <v>378750660.0280158</v>
      </c>
    </row>
    <row r="36" spans="1:12" ht="12.75">
      <c r="A36" s="1">
        <v>6E-07</v>
      </c>
      <c r="B36" s="1">
        <f>2*'12-Hypothèses'!$C$58/(A36^4)/(EXP('12-Hypothèses'!$C$59*'12-Hypothèses'!$C$58/'13-BilanPhotoniqueEtoile'!A36/'12-Hypothèses'!$C$60/'12-Hypothèses'!$C$5)-1)</f>
        <v>4.626089990339266E+32</v>
      </c>
      <c r="C36" s="1">
        <f>B36*'12-Hypothèses'!$C$59*'12-Hypothèses'!$C$58/'13-BilanPhotoniqueEtoile'!A36</f>
        <v>153157954935126.03</v>
      </c>
      <c r="D36">
        <v>0.631</v>
      </c>
      <c r="E36" s="1">
        <f t="shared" si="3"/>
        <v>65040516616615430</v>
      </c>
      <c r="F36" s="1">
        <f t="shared" si="4"/>
        <v>899284267.3809731</v>
      </c>
      <c r="G36" s="1">
        <v>0.66</v>
      </c>
      <c r="H36" s="1">
        <f>G36^(1/COS((90-'12-Hypothèses'!$C$30)*PI()/180))</f>
        <v>0.66</v>
      </c>
      <c r="I36" s="1">
        <f>'12-Hypothèses'!$C$42</f>
        <v>0.7201949999999999</v>
      </c>
      <c r="J36" s="1">
        <v>1</v>
      </c>
      <c r="K36" s="1">
        <f>('12-Hypothèses'!$C$50/2)+('12-Hypothèses'!$C$50/2)*IF(A36&lt;'12-Hypothèses'!$C$51,COS((A36-'12-Hypothèses'!$C$51)*PI()/(2*('12-Hypothèses'!$C$51-'12-Hypothèses'!$C$52))),IF(A36&lt;'12-Hypothèses'!$C$53,COS((A36-'12-Hypothèses'!$C$51)*PI()/(2*('12-Hypothèses'!$C$53-'12-Hypothèses'!$C$51))),COS((PI()/2+(A36-'12-Hypothèses'!$C$53)*PI()/(2*(0.0000011-'12-Hypothèses'!$C$53))))))</f>
        <v>0.8631972480961234</v>
      </c>
      <c r="L36" s="1">
        <f t="shared" si="5"/>
        <v>368978516.3731996</v>
      </c>
    </row>
    <row r="37" spans="1:12" ht="12.75">
      <c r="A37" s="1">
        <v>6.1E-07</v>
      </c>
      <c r="B37" s="1">
        <f>2*'12-Hypothèses'!$C$58/(A37^4)/(EXP('12-Hypothèses'!$C$59*'12-Hypothèses'!$C$58/'13-BilanPhotoniqueEtoile'!A37/'12-Hypothèses'!$C$60/'12-Hypothèses'!$C$5)-1)</f>
        <v>4.521857191947488E+32</v>
      </c>
      <c r="C37" s="1">
        <f>B37*'12-Hypothèses'!$C$59*'12-Hypothèses'!$C$58/'13-BilanPhotoniqueEtoile'!A37</f>
        <v>147252860419068.44</v>
      </c>
      <c r="D37">
        <v>0.503</v>
      </c>
      <c r="E37" s="1">
        <f t="shared" si="3"/>
        <v>49847891056202620</v>
      </c>
      <c r="F37" s="1">
        <f t="shared" si="4"/>
        <v>879022033.8458351</v>
      </c>
      <c r="G37" s="1">
        <v>0.67</v>
      </c>
      <c r="H37" s="1">
        <f>G37^(1/COS((90-'12-Hypothèses'!$C$30)*PI()/180))</f>
        <v>0.67</v>
      </c>
      <c r="I37" s="1">
        <f>'12-Hypothèses'!$C$42</f>
        <v>0.7201949999999999</v>
      </c>
      <c r="J37" s="1">
        <v>1</v>
      </c>
      <c r="K37" s="1">
        <f>('12-Hypothèses'!$C$50/2)+('12-Hypothèses'!$C$50/2)*IF(A37&lt;'12-Hypothèses'!$C$51,COS((A37-'12-Hypothèses'!$C$51)*PI()/(2*('12-Hypothèses'!$C$51-'12-Hypothèses'!$C$52))),IF(A37&lt;'12-Hypothèses'!$C$53,COS((A37-'12-Hypothèses'!$C$51)*PI()/(2*('12-Hypothèses'!$C$53-'12-Hypothèses'!$C$51))),COS((PI()/2+(A37-'12-Hypothèses'!$C$53)*PI()/(2*(0.0000011-'12-Hypothèses'!$C$53))))))</f>
        <v>0.8521346881455356</v>
      </c>
      <c r="L37" s="1">
        <f t="shared" si="5"/>
        <v>361437251.15952164</v>
      </c>
    </row>
    <row r="38" spans="1:12" ht="12.75">
      <c r="A38" s="1">
        <v>6.2E-07</v>
      </c>
      <c r="B38" s="1">
        <f>2*'12-Hypothèses'!$C$58/(A38^4)/(EXP('12-Hypothèses'!$C$59*'12-Hypothèses'!$C$58/'13-BilanPhotoniqueEtoile'!A38/'12-Hypothèses'!$C$60/'12-Hypothèses'!$C$5)-1)</f>
        <v>4.419297070229635E+32</v>
      </c>
      <c r="C38" s="1">
        <f>B38*'12-Hypothèses'!$C$59*'12-Hypothèses'!$C$58/'13-BilanPhotoniqueEtoile'!A38</f>
        <v>141591844462388</v>
      </c>
      <c r="D38">
        <v>0.381</v>
      </c>
      <c r="E38" s="1">
        <f t="shared" si="3"/>
        <v>36305989614134296</v>
      </c>
      <c r="F38" s="1">
        <f t="shared" si="4"/>
        <v>859084958.6669801</v>
      </c>
      <c r="G38" s="1">
        <v>0.68</v>
      </c>
      <c r="H38" s="1">
        <f>G38^(1/COS((90-'12-Hypothèses'!$C$30)*PI()/180))</f>
        <v>0.68</v>
      </c>
      <c r="I38" s="1">
        <f>'12-Hypothèses'!$C$42</f>
        <v>0.7201949999999999</v>
      </c>
      <c r="J38" s="1">
        <v>1</v>
      </c>
      <c r="K38" s="1">
        <f>('12-Hypothèses'!$C$50/2)+('12-Hypothèses'!$C$50/2)*IF(A38&lt;'12-Hypothèses'!$C$51,COS((A38-'12-Hypothèses'!$C$51)*PI()/(2*('12-Hypothèses'!$C$51-'12-Hypothèses'!$C$52))),IF(A38&lt;'12-Hypothèses'!$C$53,COS((A38-'12-Hypothèses'!$C$51)*PI()/(2*('12-Hypothèses'!$C$53-'12-Hypothèses'!$C$51))),COS((PI()/2+(A38-'12-Hypothèses'!$C$53)*PI()/(2*(0.0000011-'12-Hypothèses'!$C$53))))))</f>
        <v>0.8397114317029974</v>
      </c>
      <c r="L38" s="1">
        <f t="shared" si="5"/>
        <v>353284997.75504893</v>
      </c>
    </row>
    <row r="39" spans="1:12" ht="12.75">
      <c r="A39" s="1">
        <v>6.3E-07</v>
      </c>
      <c r="B39" s="1">
        <f>2*'12-Hypothèses'!$C$58/(A39^4)/(EXP('12-Hypothèses'!$C$59*'12-Hypothèses'!$C$58/'13-BilanPhotoniqueEtoile'!A39/'12-Hypothèses'!$C$60/'12-Hypothèses'!$C$5)-1)</f>
        <v>4.3185047622510305E+32</v>
      </c>
      <c r="C39" s="1">
        <f>B39*'12-Hypothèses'!$C$59*'12-Hypothèses'!$C$58/'13-BilanPhotoniqueEtoile'!A39</f>
        <v>136166284032563.16</v>
      </c>
      <c r="D39">
        <v>0.265</v>
      </c>
      <c r="E39" s="1">
        <f t="shared" si="3"/>
        <v>24284575925787476</v>
      </c>
      <c r="F39" s="1">
        <f t="shared" si="4"/>
        <v>839491535.9217539</v>
      </c>
      <c r="G39" s="1">
        <v>0.69</v>
      </c>
      <c r="H39" s="1">
        <f>G39^(1/COS((90-'12-Hypothèses'!$C$30)*PI()/180))</f>
        <v>0.69</v>
      </c>
      <c r="I39" s="1">
        <f>'12-Hypothèses'!$C$42</f>
        <v>0.7201949999999999</v>
      </c>
      <c r="J39" s="1">
        <v>1</v>
      </c>
      <c r="K39" s="1">
        <f>('12-Hypothèses'!$C$50/2)+('12-Hypothèses'!$C$50/2)*IF(A39&lt;'12-Hypothèses'!$C$51,COS((A39-'12-Hypothèses'!$C$51)*PI()/(2*('12-Hypothèses'!$C$51-'12-Hypothèses'!$C$52))),IF(A39&lt;'12-Hypothèses'!$C$53,COS((A39-'12-Hypothèses'!$C$51)*PI()/(2*('12-Hypothèses'!$C$53-'12-Hypothèses'!$C$51))),COS((PI()/2+(A39-'12-Hypothèses'!$C$53)*PI()/(2*(0.0000011-'12-Hypothèses'!$C$53))))))</f>
        <v>0.8259695151358214</v>
      </c>
      <c r="L39" s="1">
        <f t="shared" si="5"/>
        <v>344571642.5277155</v>
      </c>
    </row>
    <row r="40" spans="1:12" ht="12.75">
      <c r="A40" s="1">
        <v>6.4E-07</v>
      </c>
      <c r="B40" s="1">
        <f>2*'12-Hypothèses'!$C$58/(A40^4)/(EXP('12-Hypothèses'!$C$59*'12-Hypothèses'!$C$58/'13-BilanPhotoniqueEtoile'!A40/'12-Hypothèses'!$C$60/'12-Hypothèses'!$C$5)-1)</f>
        <v>4.219556754355044E+32</v>
      </c>
      <c r="C40" s="1">
        <f>B40*'12-Hypothèses'!$C$59*'12-Hypothèses'!$C$58/'13-BilanPhotoniqueEtoile'!A40</f>
        <v>130967516151458.7</v>
      </c>
      <c r="D40">
        <v>0.175</v>
      </c>
      <c r="E40" s="1">
        <f t="shared" si="3"/>
        <v>15424699214738050</v>
      </c>
      <c r="F40" s="1">
        <f t="shared" si="4"/>
        <v>820256634.0985354</v>
      </c>
      <c r="G40" s="1">
        <v>0.7</v>
      </c>
      <c r="H40" s="1">
        <f>G40^(1/COS((90-'12-Hypothèses'!$C$30)*PI()/180))</f>
        <v>0.7</v>
      </c>
      <c r="I40" s="1">
        <f>'12-Hypothèses'!$C$42</f>
        <v>0.7201949999999999</v>
      </c>
      <c r="J40" s="1">
        <v>1</v>
      </c>
      <c r="K40" s="1">
        <f>('12-Hypothèses'!$C$50/2)+('12-Hypothèses'!$C$50/2)*IF(A40&lt;'12-Hypothèses'!$C$51,COS((A40-'12-Hypothèses'!$C$51)*PI()/(2*('12-Hypothèses'!$C$51-'12-Hypothèses'!$C$52))),IF(A40&lt;'12-Hypothèses'!$C$53,COS((A40-'12-Hypothèses'!$C$51)*PI()/(2*('12-Hypothèses'!$C$53-'12-Hypothèses'!$C$51))),COS((PI()/2+(A40-'12-Hypothèses'!$C$53)*PI()/(2*(0.0000011-'12-Hypothèses'!$C$53))))))</f>
        <v>0.8109554367397698</v>
      </c>
      <c r="L40" s="1">
        <f t="shared" si="5"/>
        <v>335347353.43006474</v>
      </c>
    </row>
    <row r="41" spans="1:12" ht="12.75">
      <c r="A41" s="1">
        <v>6.5E-07</v>
      </c>
      <c r="B41" s="1">
        <f>2*'12-Hypothèses'!$C$58/(A41^4)/(EXP('12-Hypothèses'!$C$59*'12-Hypothèses'!$C$58/'13-BilanPhotoniqueEtoile'!A41/'12-Hypothèses'!$C$60/'12-Hypothèses'!$C$5)-1)</f>
        <v>4.122513094717782E+32</v>
      </c>
      <c r="C41" s="1">
        <f>B41*'12-Hypothèses'!$C$59*'12-Hypothèses'!$C$58/'13-BilanPhotoniqueEtoile'!A41</f>
        <v>125986908585297.64</v>
      </c>
      <c r="D41">
        <v>0.107</v>
      </c>
      <c r="E41" s="1">
        <f t="shared" si="3"/>
        <v>9072443274135868</v>
      </c>
      <c r="F41" s="1">
        <f t="shared" si="4"/>
        <v>801391926.2041559</v>
      </c>
      <c r="G41" s="1">
        <v>0.71</v>
      </c>
      <c r="H41" s="1">
        <f>G41^(1/COS((90-'12-Hypothèses'!$C$30)*PI()/180))</f>
        <v>0.71</v>
      </c>
      <c r="I41" s="1">
        <f>'12-Hypothèses'!$C$42</f>
        <v>0.7201949999999999</v>
      </c>
      <c r="J41" s="1">
        <v>1</v>
      </c>
      <c r="K41" s="1">
        <f>('12-Hypothèses'!$C$50/2)+('12-Hypothèses'!$C$50/2)*IF(A41&lt;'12-Hypothèses'!$C$51,COS((A41-'12-Hypothèses'!$C$51)*PI()/(2*('12-Hypothèses'!$C$51-'12-Hypothèses'!$C$52))),IF(A41&lt;'12-Hypothèses'!$C$53,COS((A41-'12-Hypothèses'!$C$51)*PI()/(2*('12-Hypothèses'!$C$53-'12-Hypothèses'!$C$51))),COS((PI()/2+(A41-'12-Hypothèses'!$C$53)*PI()/(2*(0.0000011-'12-Hypothèses'!$C$53))))))</f>
        <v>0.7947199994035401</v>
      </c>
      <c r="L41" s="1">
        <f t="shared" si="5"/>
        <v>325662352.4373318</v>
      </c>
    </row>
    <row r="42" spans="1:12" ht="12.75">
      <c r="A42" s="1">
        <v>6.6E-07</v>
      </c>
      <c r="B42" s="1">
        <f>2*'12-Hypothèses'!$C$58/(A42^4)/(EXP('12-Hypothèses'!$C$59*'12-Hypothèses'!$C$58/'13-BilanPhotoniqueEtoile'!A42/'12-Hypothèses'!$C$60/'12-Hypothèses'!$C$5)-1)</f>
        <v>4.027419375815409E+32</v>
      </c>
      <c r="C42" s="1">
        <f>B42*'12-Hypothèses'!$C$59*'12-Hypothèses'!$C$58/'13-BilanPhotoniqueEtoile'!A42</f>
        <v>121215917183179.45</v>
      </c>
      <c r="D42">
        <v>0.061</v>
      </c>
      <c r="E42" s="1">
        <f t="shared" si="3"/>
        <v>4976277048121066</v>
      </c>
      <c r="F42" s="1">
        <f t="shared" si="4"/>
        <v>782906275.1437057</v>
      </c>
      <c r="G42" s="1">
        <v>0.72</v>
      </c>
      <c r="H42" s="1">
        <f>G42^(1/COS((90-'12-Hypothèses'!$C$30)*PI()/180))</f>
        <v>0.72</v>
      </c>
      <c r="I42" s="1">
        <f>'12-Hypothèses'!$C$42</f>
        <v>0.7201949999999999</v>
      </c>
      <c r="J42" s="1">
        <v>1</v>
      </c>
      <c r="K42" s="1">
        <f>('12-Hypothèses'!$C$50/2)+('12-Hypothèses'!$C$50/2)*IF(A42&lt;'12-Hypothèses'!$C$51,COS((A42-'12-Hypothèses'!$C$51)*PI()/(2*('12-Hypothèses'!$C$51-'12-Hypothèses'!$C$52))),IF(A42&lt;'12-Hypothèses'!$C$53,COS((A42-'12-Hypothèses'!$C$51)*PI()/(2*('12-Hypothèses'!$C$53-'12-Hypothèses'!$C$51))),COS((PI()/2+(A42-'12-Hypothèses'!$C$53)*PI()/(2*(0.0000011-'12-Hypothèses'!$C$53))))))</f>
        <v>0.7773181387078718</v>
      </c>
      <c r="L42" s="1">
        <f t="shared" si="5"/>
        <v>315566704.50423384</v>
      </c>
    </row>
    <row r="43" spans="1:12" ht="12.75">
      <c r="A43" s="1">
        <v>6.7E-07</v>
      </c>
      <c r="B43" s="1">
        <f>2*'12-Hypothèses'!$C$58/(A43^4)/(EXP('12-Hypothèses'!$C$59*'12-Hypothèses'!$C$58/'13-BilanPhotoniqueEtoile'!A43/'12-Hypothèses'!$C$60/'12-Hypothèses'!$C$5)-1)</f>
        <v>3.934308508205961E+32</v>
      </c>
      <c r="C43" s="1">
        <f>B43*'12-Hypothèses'!$C$59*'12-Hypothèses'!$C$58/'13-BilanPhotoniqueEtoile'!A43</f>
        <v>116646131893604.66</v>
      </c>
      <c r="D43">
        <v>0.032</v>
      </c>
      <c r="E43" s="1">
        <f t="shared" si="3"/>
        <v>2512091096460670</v>
      </c>
      <c r="F43" s="1">
        <f t="shared" si="4"/>
        <v>764806078.5331274</v>
      </c>
      <c r="G43" s="1">
        <v>0.73</v>
      </c>
      <c r="H43" s="1">
        <f>G43^(1/COS((90-'12-Hypothèses'!$C$30)*PI()/180))</f>
        <v>0.73</v>
      </c>
      <c r="I43" s="1">
        <f>'12-Hypothèses'!$C$42</f>
        <v>0.7201949999999999</v>
      </c>
      <c r="J43" s="1">
        <v>1</v>
      </c>
      <c r="K43" s="1">
        <f>('12-Hypothèses'!$C$50/2)+('12-Hypothèses'!$C$50/2)*IF(A43&lt;'12-Hypothèses'!$C$51,COS((A43-'12-Hypothèses'!$C$51)*PI()/(2*('12-Hypothèses'!$C$51-'12-Hypothèses'!$C$52))),IF(A43&lt;'12-Hypothèses'!$C$53,COS((A43-'12-Hypothèses'!$C$51)*PI()/(2*('12-Hypothèses'!$C$53-'12-Hypothèses'!$C$51))),COS((PI()/2+(A43-'12-Hypothèses'!$C$53)*PI()/(2*(0.0000011-'12-Hypothèses'!$C$53))))))</f>
        <v>0.75880873704093</v>
      </c>
      <c r="L43" s="1">
        <f t="shared" si="5"/>
        <v>305110122.16795856</v>
      </c>
    </row>
    <row r="44" spans="1:12" ht="12.75">
      <c r="A44" s="1">
        <v>6.8E-07</v>
      </c>
      <c r="B44" s="1">
        <f>2*'12-Hypothèses'!$C$58/(A44^4)/(EXP('12-Hypothèses'!$C$59*'12-Hypothèses'!$C$58/'13-BilanPhotoniqueEtoile'!A44/'12-Hypothèses'!$C$60/'12-Hypothèses'!$C$5)-1)</f>
        <v>3.843202305489929E+32</v>
      </c>
      <c r="C44" s="1">
        <f>B44*'12-Hypothèses'!$C$59*'12-Hypothèses'!$C$58/'13-BilanPhotoniqueEtoile'!A44</f>
        <v>112269313204789.44</v>
      </c>
      <c r="D44">
        <v>0.017</v>
      </c>
      <c r="E44" s="1">
        <f t="shared" si="3"/>
        <v>1284473212375996</v>
      </c>
      <c r="F44" s="1">
        <f t="shared" si="4"/>
        <v>747095576.8060868</v>
      </c>
      <c r="G44" s="1">
        <v>0.74</v>
      </c>
      <c r="H44" s="1">
        <f>G44^(1/COS((90-'12-Hypothèses'!$C$30)*PI()/180))</f>
        <v>0.74</v>
      </c>
      <c r="I44" s="1">
        <f>'12-Hypothèses'!$C$42</f>
        <v>0.7201949999999999</v>
      </c>
      <c r="J44" s="1">
        <v>1</v>
      </c>
      <c r="K44" s="1">
        <f>('12-Hypothèses'!$C$50/2)+('12-Hypothèses'!$C$50/2)*IF(A44&lt;'12-Hypothèses'!$C$51,COS((A44-'12-Hypothèses'!$C$51)*PI()/(2*('12-Hypothèses'!$C$51-'12-Hypothèses'!$C$52))),IF(A44&lt;'12-Hypothèses'!$C$53,COS((A44-'12-Hypothèses'!$C$51)*PI()/(2*('12-Hypothèses'!$C$53-'12-Hypothèses'!$C$51))),COS((PI()/2+(A44-'12-Hypothèses'!$C$53)*PI()/(2*(0.0000011-'12-Hypothèses'!$C$53))))))</f>
        <v>0.7392544243589427</v>
      </c>
      <c r="L44" s="1">
        <f t="shared" si="5"/>
        <v>294341784.9756746</v>
      </c>
    </row>
    <row r="45" spans="1:12" ht="12.75">
      <c r="A45" s="1">
        <v>6.9E-07</v>
      </c>
      <c r="B45" s="1">
        <f>2*'12-Hypothèses'!$C$58/(A45^4)/(EXP('12-Hypothèses'!$C$59*'12-Hypothèses'!$C$58/'13-BilanPhotoniqueEtoile'!A45/'12-Hypothèses'!$C$60/'12-Hypothèses'!$C$5)-1)</f>
        <v>3.75411289877821E+32</v>
      </c>
      <c r="C45" s="1">
        <f>B45*'12-Hypothèses'!$C$59*'12-Hypothèses'!$C$58/'13-BilanPhotoniqueEtoile'!A45</f>
        <v>108077420507932.33</v>
      </c>
      <c r="D45">
        <v>0.0082</v>
      </c>
      <c r="E45" s="1">
        <f t="shared" si="3"/>
        <v>596436052815075.4</v>
      </c>
      <c r="F45" s="1">
        <f t="shared" si="4"/>
        <v>729777128.1780957</v>
      </c>
      <c r="G45" s="1">
        <v>0.74</v>
      </c>
      <c r="H45" s="1">
        <f>G45^(1/COS((90-'12-Hypothèses'!$C$30)*PI()/180))</f>
        <v>0.74</v>
      </c>
      <c r="I45" s="1">
        <f>'12-Hypothèses'!$C$42</f>
        <v>0.7201949999999999</v>
      </c>
      <c r="J45" s="1">
        <v>1</v>
      </c>
      <c r="K45" s="1">
        <f>('12-Hypothèses'!$C$50/2)+('12-Hypothèses'!$C$50/2)*IF(A45&lt;'12-Hypothèses'!$C$51,COS((A45-'12-Hypothèses'!$C$51)*PI()/(2*('12-Hypothèses'!$C$51-'12-Hypothèses'!$C$52))),IF(A45&lt;'12-Hypothèses'!$C$53,COS((A45-'12-Hypothèses'!$C$51)*PI()/(2*('12-Hypothèses'!$C$53-'12-Hypothèses'!$C$51))),COS((PI()/2+(A45-'12-Hypothèses'!$C$53)*PI()/(2*(0.0000011-'12-Hypothèses'!$C$53))))))</f>
        <v>0.7187213662662538</v>
      </c>
      <c r="L45" s="1">
        <f t="shared" si="5"/>
        <v>279532703.9926396</v>
      </c>
    </row>
    <row r="46" spans="1:12" ht="12.75">
      <c r="A46" s="1">
        <v>7E-07</v>
      </c>
      <c r="B46" s="1">
        <f>2*'12-Hypothèses'!$C$58/(A46^4)/(EXP('12-Hypothèses'!$C$59*'12-Hypothèses'!$C$58/'13-BilanPhotoniqueEtoile'!A46/'12-Hypothèses'!$C$60/'12-Hypothèses'!$C$5)-1)</f>
        <v>3.667043997495933E+32</v>
      </c>
      <c r="C46" s="1">
        <f>B46*'12-Hypothèses'!$C$59*'12-Hypothèses'!$C$58/'13-BilanPhotoniqueEtoile'!A46</f>
        <v>104062633668694.9</v>
      </c>
      <c r="D46">
        <v>0.0041</v>
      </c>
      <c r="E46" s="1">
        <f t="shared" si="3"/>
        <v>287140025082029.9</v>
      </c>
      <c r="F46" s="1">
        <f t="shared" si="4"/>
        <v>712851453.7392472</v>
      </c>
      <c r="G46" s="1">
        <v>0.74</v>
      </c>
      <c r="H46" s="1">
        <f>G46^(1/COS((90-'12-Hypothèses'!$C$30)*PI()/180))</f>
        <v>0.74</v>
      </c>
      <c r="I46" s="1">
        <f>'12-Hypothèses'!$C$42</f>
        <v>0.7201949999999999</v>
      </c>
      <c r="J46" s="1">
        <v>1</v>
      </c>
      <c r="K46" s="1">
        <f>('12-Hypothèses'!$C$50/2)+('12-Hypothèses'!$C$50/2)*IF(A46&lt;'12-Hypothèses'!$C$51,COS((A46-'12-Hypothèses'!$C$51)*PI()/(2*('12-Hypothèses'!$C$51-'12-Hypothèses'!$C$52))),IF(A46&lt;'12-Hypothèses'!$C$53,COS((A46-'12-Hypothèses'!$C$51)*PI()/(2*('12-Hypothèses'!$C$53-'12-Hypothèses'!$C$51))),COS((PI()/2+(A46-'12-Hypothèses'!$C$53)*PI()/(2*(0.0000011-'12-Hypothèses'!$C$53))))))</f>
        <v>0.6972790401318627</v>
      </c>
      <c r="L46" s="1">
        <f t="shared" si="5"/>
        <v>264903363.12458715</v>
      </c>
    </row>
    <row r="47" spans="1:12" ht="12.75">
      <c r="A47" s="1">
        <v>7.1E-07</v>
      </c>
      <c r="B47" s="1">
        <f>2*'12-Hypothèses'!$C$58/(A47^4)/(EXP('12-Hypothèses'!$C$59*'12-Hypothèses'!$C$58/'13-BilanPhotoniqueEtoile'!A47/'12-Hypothèses'!$C$60/'12-Hypothèses'!$C$5)-1)</f>
        <v>3.581992011910116E+32</v>
      </c>
      <c r="C47" s="1">
        <f>B47*'12-Hypothèses'!$C$59*'12-Hypothèses'!$C$58/'13-BilanPhotoniqueEtoile'!A47</f>
        <v>100217368907033.88</v>
      </c>
      <c r="D47">
        <v>0.0021</v>
      </c>
      <c r="E47" s="1">
        <f t="shared" si="3"/>
        <v>141637207476310.97</v>
      </c>
      <c r="F47" s="1">
        <f t="shared" si="4"/>
        <v>696317855.6668868</v>
      </c>
      <c r="G47" s="1">
        <v>0.74</v>
      </c>
      <c r="H47" s="1">
        <f>G47^(1/COS((90-'12-Hypothèses'!$C$30)*PI()/180))</f>
        <v>0.74</v>
      </c>
      <c r="I47" s="1">
        <f>'12-Hypothèses'!$C$42</f>
        <v>0.7201949999999999</v>
      </c>
      <c r="J47" s="1">
        <v>1</v>
      </c>
      <c r="K47" s="1">
        <f>('12-Hypothèses'!$C$50/2)+('12-Hypothèses'!$C$50/2)*IF(A47&lt;'12-Hypothèses'!$C$51,COS((A47-'12-Hypothèses'!$C$51)*PI()/(2*('12-Hypothèses'!$C$51-'12-Hypothèses'!$C$52))),IF(A47&lt;'12-Hypothèses'!$C$53,COS((A47-'12-Hypothèses'!$C$51)*PI()/(2*('12-Hypothèses'!$C$53-'12-Hypothèses'!$C$51))),COS((PI()/2+(A47-'12-Hypothèses'!$C$53)*PI()/(2*(0.0000011-'12-Hypothèses'!$C$53))))))</f>
        <v>0.675</v>
      </c>
      <c r="L47" s="1">
        <f t="shared" si="5"/>
        <v>250491576.71197575</v>
      </c>
    </row>
    <row r="48" spans="1:12" ht="12.75">
      <c r="A48" s="1">
        <v>7.2E-07</v>
      </c>
      <c r="B48" s="1">
        <f>2*'12-Hypothèses'!$C$58/(A48^4)/(EXP('12-Hypothèses'!$C$59*'12-Hypothèses'!$C$58/'13-BilanPhotoniqueEtoile'!A48/'12-Hypothèses'!$C$60/'12-Hypothèses'!$C$5)-1)</f>
        <v>3.4989470514030096E+32</v>
      </c>
      <c r="C48" s="1">
        <f>B48*'12-Hypothèses'!$C$59*'12-Hypothèses'!$C$58/'13-BilanPhotoniqueEtoile'!A48</f>
        <v>96534289925596.78</v>
      </c>
      <c r="D48">
        <v>0.00105</v>
      </c>
      <c r="E48" s="1">
        <f t="shared" si="3"/>
        <v>68215955975922.96</v>
      </c>
      <c r="F48" s="1">
        <f t="shared" si="4"/>
        <v>680174411.2839906</v>
      </c>
      <c r="G48" s="1">
        <v>0.74</v>
      </c>
      <c r="H48" s="1">
        <f>G48^(1/COS((90-'12-Hypothèses'!$C$30)*PI()/180))</f>
        <v>0.74</v>
      </c>
      <c r="I48" s="1">
        <f>'12-Hypothèses'!$C$42</f>
        <v>0.7201949999999999</v>
      </c>
      <c r="J48" s="1">
        <v>1</v>
      </c>
      <c r="K48" s="1">
        <f>('12-Hypothèses'!$C$50/2)+('12-Hypothèses'!$C$50/2)*IF(A48&lt;'12-Hypothèses'!$C$51,COS((A48-'12-Hypothèses'!$C$51)*PI()/(2*('12-Hypothèses'!$C$51-'12-Hypothèses'!$C$52))),IF(A48&lt;'12-Hypothèses'!$C$53,COS((A48-'12-Hypothèses'!$C$51)*PI()/(2*('12-Hypothèses'!$C$53-'12-Hypothèses'!$C$51))),COS((PI()/2+(A48-'12-Hypothèses'!$C$53)*PI()/(2*(0.0000011-'12-Hypothèses'!$C$53))))))</f>
        <v>0.651959631090208</v>
      </c>
      <c r="L48" s="1">
        <f t="shared" si="5"/>
        <v>236332155.69477442</v>
      </c>
    </row>
    <row r="49" spans="1:12" ht="12.75">
      <c r="A49" s="1">
        <v>7.3E-07</v>
      </c>
      <c r="B49" s="1">
        <f>2*'12-Hypothèses'!$C$58/(A49^4)/(EXP('12-Hypothèses'!$C$59*'12-Hypothèses'!$C$58/'13-BilanPhotoniqueEtoile'!A49/'12-Hypothèses'!$C$60/'12-Hypothèses'!$C$5)-1)</f>
        <v>3.4178938112305195E+32</v>
      </c>
      <c r="C49" s="1">
        <f>B49*'12-Hypothèses'!$C$59*'12-Hypothèses'!$C$58/'13-BilanPhotoniqueEtoile'!A49</f>
        <v>93006315088956.55</v>
      </c>
      <c r="D49">
        <v>0.00052</v>
      </c>
      <c r="E49" s="1">
        <f t="shared" si="3"/>
        <v>32548490028531.23</v>
      </c>
      <c r="F49" s="1">
        <f t="shared" si="4"/>
        <v>664418145.4397055</v>
      </c>
      <c r="G49" s="1">
        <v>0.74</v>
      </c>
      <c r="H49" s="1">
        <f>G49^(1/COS((90-'12-Hypothèses'!$C$30)*PI()/180))</f>
        <v>0.74</v>
      </c>
      <c r="I49" s="1">
        <f>'12-Hypothèses'!$C$42</f>
        <v>0.7201949999999999</v>
      </c>
      <c r="J49" s="1">
        <v>1</v>
      </c>
      <c r="K49" s="1">
        <f>('12-Hypothèses'!$C$50/2)+('12-Hypothèses'!$C$50/2)*IF(A49&lt;'12-Hypothèses'!$C$51,COS((A49-'12-Hypothèses'!$C$51)*PI()/(2*('12-Hypothèses'!$C$51-'12-Hypothèses'!$C$52))),IF(A49&lt;'12-Hypothèses'!$C$53,COS((A49-'12-Hypothèses'!$C$51)*PI()/(2*('12-Hypothèses'!$C$53-'12-Hypothèses'!$C$51))),COS((PI()/2+(A49-'12-Hypothèses'!$C$53)*PI()/(2*(0.0000011-'12-Hypothèses'!$C$53))))))</f>
        <v>0.6282358947176205</v>
      </c>
      <c r="L49" s="1">
        <f t="shared" si="5"/>
        <v>222456988.04870328</v>
      </c>
    </row>
    <row r="50" spans="1:12" ht="12.75">
      <c r="A50" s="1">
        <v>7.4E-07</v>
      </c>
      <c r="B50" s="1">
        <f>2*'12-Hypothèses'!$C$58/(A50^4)/(EXP('12-Hypothèses'!$C$59*'12-Hypothèses'!$C$58/'13-BilanPhotoniqueEtoile'!A50/'12-Hypothèses'!$C$60/'12-Hypothèses'!$C$5)-1)</f>
        <v>3.338812359310831E+32</v>
      </c>
      <c r="C50" s="1">
        <f>B50*'12-Hypothèses'!$C$59*'12-Hypothèses'!$C$58/'13-BilanPhotoniqueEtoile'!A50</f>
        <v>89626621337170.81</v>
      </c>
      <c r="D50">
        <v>0.00012</v>
      </c>
      <c r="E50" s="1">
        <f t="shared" si="3"/>
        <v>7238245939189.914</v>
      </c>
      <c r="F50" s="1">
        <f t="shared" si="4"/>
        <v>649045183.45636</v>
      </c>
      <c r="G50" s="1">
        <v>0.74</v>
      </c>
      <c r="H50" s="1">
        <f>G50^(1/COS((90-'12-Hypothèses'!$C$30)*PI()/180))</f>
        <v>0.74</v>
      </c>
      <c r="I50" s="1">
        <f>'12-Hypothèses'!$C$42</f>
        <v>0.7201949999999999</v>
      </c>
      <c r="J50" s="1">
        <v>1</v>
      </c>
      <c r="K50" s="1">
        <f>('12-Hypothèses'!$C$50/2)+('12-Hypothèses'!$C$50/2)*IF(A50&lt;'12-Hypothèses'!$C$51,COS((A50-'12-Hypothèses'!$C$51)*PI()/(2*('12-Hypothèses'!$C$51-'12-Hypothèses'!$C$52))),IF(A50&lt;'12-Hypothèses'!$C$53,COS((A50-'12-Hypothèses'!$C$51)*PI()/(2*('12-Hypothèses'!$C$53-'12-Hypothèses'!$C$51))),COS((PI()/2+(A50-'12-Hypothèses'!$C$53)*PI()/(2*(0.0000011-'12-Hypothèses'!$C$53))))))</f>
        <v>0.6039090644965509</v>
      </c>
      <c r="L50" s="1">
        <f t="shared" si="5"/>
        <v>208895123.26413202</v>
      </c>
    </row>
    <row r="51" spans="1:12" ht="12.75">
      <c r="A51" s="1">
        <v>7.5E-07</v>
      </c>
      <c r="B51" s="1">
        <f>2*'12-Hypothèses'!$C$58/(A51^4)/(EXP('12-Hypothèses'!$C$59*'12-Hypothèses'!$C$58/'13-BilanPhotoniqueEtoile'!A51/'12-Hypothèses'!$C$60/'12-Hypothèses'!$C$5)-1)</f>
        <v>3.261678833483453E+32</v>
      </c>
      <c r="C51" s="1">
        <f>B51*'12-Hypothèses'!$C$59*'12-Hypothèses'!$C$58/'13-BilanPhotoniqueEtoile'!A51</f>
        <v>86388645414980.73</v>
      </c>
      <c r="D51">
        <v>6E-05</v>
      </c>
      <c r="E51" s="1">
        <f t="shared" si="3"/>
        <v>3488373501856.922</v>
      </c>
      <c r="F51" s="1">
        <f t="shared" si="4"/>
        <v>634050886.6724579</v>
      </c>
      <c r="G51" s="1">
        <v>0.76</v>
      </c>
      <c r="H51" s="1">
        <f>G51^(1/COS((90-'12-Hypothèses'!$C$30)*PI()/180))</f>
        <v>0.76</v>
      </c>
      <c r="I51" s="1">
        <f>'12-Hypothèses'!$C$42</f>
        <v>0.7201949999999999</v>
      </c>
      <c r="J51" s="1">
        <v>1</v>
      </c>
      <c r="K51" s="1">
        <f>('12-Hypothèses'!$C$50/2)+('12-Hypothèses'!$C$50/2)*IF(A51&lt;'12-Hypothèses'!$C$51,COS((A51-'12-Hypothèses'!$C$51)*PI()/(2*('12-Hypothèses'!$C$51-'12-Hypothèses'!$C$52))),IF(A51&lt;'12-Hypothèses'!$C$53,COS((A51-'12-Hypothèses'!$C$51)*PI()/(2*('12-Hypothèses'!$C$53-'12-Hypothèses'!$C$51))),COS((PI()/2+(A51-'12-Hypothèses'!$C$53)*PI()/(2*(0.0000011-'12-Hypothèses'!$C$53))))))</f>
        <v>0.5790614547199906</v>
      </c>
      <c r="L51" s="1">
        <f t="shared" si="5"/>
        <v>200961315.7273794</v>
      </c>
    </row>
    <row r="52" spans="1:12" ht="12.75">
      <c r="A52" s="1">
        <v>7.6E-07</v>
      </c>
      <c r="B52" s="1">
        <f>2*'12-Hypothèses'!$C$58/(A52^4)/(EXP('12-Hypothèses'!$C$59*'12-Hypothèses'!$C$58/'13-BilanPhotoniqueEtoile'!A52/'12-Hypothèses'!$C$60/'12-Hypothèses'!$C$5)-1)</f>
        <v>3.1864660586620858E+32</v>
      </c>
      <c r="C52" s="1">
        <f>B52*'12-Hypothèses'!$C$59*'12-Hypothèses'!$C$58/'13-BilanPhotoniqueEtoile'!A52</f>
        <v>83286082910197.05</v>
      </c>
      <c r="E52" s="1">
        <f t="shared" si="3"/>
        <v>0</v>
      </c>
      <c r="F52" s="1">
        <f t="shared" si="4"/>
        <v>619429972.413511</v>
      </c>
      <c r="G52" s="1">
        <v>0.77</v>
      </c>
      <c r="H52" s="1">
        <f>G52^(1/COS((90-'12-Hypothèses'!$C$30)*PI()/180))</f>
        <v>0.77</v>
      </c>
      <c r="I52" s="1">
        <f>'12-Hypothèses'!$C$42</f>
        <v>0.7201949999999999</v>
      </c>
      <c r="J52" s="1">
        <v>1</v>
      </c>
      <c r="K52" s="1">
        <f>('12-Hypothèses'!$C$50/2)+('12-Hypothèses'!$C$50/2)*IF(A52&lt;'12-Hypothèses'!$C$51,COS((A52-'12-Hypothèses'!$C$51)*PI()/(2*('12-Hypothèses'!$C$51-'12-Hypothèses'!$C$52))),IF(A52&lt;'12-Hypothèses'!$C$53,COS((A52-'12-Hypothèses'!$C$51)*PI()/(2*('12-Hypothèses'!$C$53-'12-Hypothèses'!$C$51))),COS((PI()/2+(A52-'12-Hypothèses'!$C$53)*PI()/(2*(0.0000011-'12-Hypothèses'!$C$53))))))</f>
        <v>0.553777141834098</v>
      </c>
      <c r="L52" s="1">
        <f t="shared" si="5"/>
        <v>190225208.30975187</v>
      </c>
    </row>
    <row r="53" spans="1:12" ht="12.75">
      <c r="A53" s="1">
        <v>7.70000000000001E-07</v>
      </c>
      <c r="B53" s="1">
        <f>2*'12-Hypothèses'!$C$58/(A53^4)/(EXP('12-Hypothèses'!$C$59*'12-Hypothèses'!$C$58/'13-BilanPhotoniqueEtoile'!A53/'12-Hypothèses'!$C$60/'12-Hypothèses'!$C$5)-1)</f>
        <v>3.1131440923733057E+32</v>
      </c>
      <c r="C53" s="1">
        <f>B53*'12-Hypothèses'!$C$59*'12-Hypothèses'!$C$58/'13-BilanPhotoniqueEtoile'!A53</f>
        <v>80312885519514.38</v>
      </c>
      <c r="E53" s="1">
        <f t="shared" si="3"/>
        <v>0</v>
      </c>
      <c r="F53" s="1">
        <f t="shared" si="4"/>
        <v>605176620.0415001</v>
      </c>
      <c r="G53" s="1">
        <v>0.775</v>
      </c>
      <c r="H53" s="1">
        <f>G53^(1/COS((90-'12-Hypothèses'!$C$30)*PI()/180))</f>
        <v>0.775</v>
      </c>
      <c r="I53" s="1">
        <f>'12-Hypothèses'!$C$42</f>
        <v>0.7201949999999999</v>
      </c>
      <c r="J53" s="1">
        <v>1</v>
      </c>
      <c r="K53" s="1">
        <f>('12-Hypothèses'!$C$50/2)+('12-Hypothèses'!$C$50/2)*IF(A53&lt;'12-Hypothèses'!$C$51,COS((A53-'12-Hypothèses'!$C$51)*PI()/(2*('12-Hypothèses'!$C$51-'12-Hypothèses'!$C$52))),IF(A53&lt;'12-Hypothèses'!$C$53,COS((A53-'12-Hypothèses'!$C$51)*PI()/(2*('12-Hypothèses'!$C$53-'12-Hypothèses'!$C$51))),COS((PI()/2+(A53-'12-Hypothèses'!$C$53)*PI()/(2*(0.0000011-'12-Hypothèses'!$C$53))))))</f>
        <v>0.5281416799501161</v>
      </c>
      <c r="L53" s="1">
        <f t="shared" si="5"/>
        <v>178395702.6214777</v>
      </c>
    </row>
    <row r="54" spans="1:12" ht="12.75">
      <c r="A54" s="1">
        <v>7.80000000000001E-07</v>
      </c>
      <c r="B54" s="1">
        <f>2*'12-Hypothèses'!$C$58/(A54^4)/(EXP('12-Hypothèses'!$C$59*'12-Hypothèses'!$C$58/'13-BilanPhotoniqueEtoile'!A54/'12-Hypothèses'!$C$60/'12-Hypothèses'!$C$5)-1)</f>
        <v>3.041680706322986E+32</v>
      </c>
      <c r="C54" s="1">
        <f>B54*'12-Hypothèses'!$C$59*'12-Hypothèses'!$C$58/'13-BilanPhotoniqueEtoile'!A54</f>
        <v>77463256895450.19</v>
      </c>
      <c r="E54" s="1">
        <f t="shared" si="3"/>
        <v>0</v>
      </c>
      <c r="F54" s="1">
        <f t="shared" si="4"/>
        <v>591284564.5685126</v>
      </c>
      <c r="G54" s="1">
        <v>0.775</v>
      </c>
      <c r="H54" s="1">
        <f>G54^(1/COS((90-'12-Hypothèses'!$C$30)*PI()/180))</f>
        <v>0.775</v>
      </c>
      <c r="I54" s="1">
        <f>'12-Hypothèses'!$C$42</f>
        <v>0.7201949999999999</v>
      </c>
      <c r="J54" s="1">
        <v>1</v>
      </c>
      <c r="K54" s="1">
        <f>('12-Hypothèses'!$C$50/2)+('12-Hypothèses'!$C$50/2)*IF(A54&lt;'12-Hypothèses'!$C$51,COS((A54-'12-Hypothèses'!$C$51)*PI()/(2*('12-Hypothèses'!$C$51-'12-Hypothèses'!$C$52))),IF(A54&lt;'12-Hypothèses'!$C$53,COS((A54-'12-Hypothèses'!$C$51)*PI()/(2*('12-Hypothèses'!$C$53-'12-Hypothèses'!$C$51))),COS((PI()/2+(A54-'12-Hypothèses'!$C$53)*PI()/(2*(0.0000011-'12-Hypothèses'!$C$53))))))</f>
        <v>0.5022418113563509</v>
      </c>
      <c r="L54" s="1">
        <f t="shared" si="5"/>
        <v>165752928.81407502</v>
      </c>
    </row>
    <row r="55" spans="1:12" ht="12.75">
      <c r="A55" s="1">
        <v>7.90000000000001E-07</v>
      </c>
      <c r="B55" s="1">
        <f>2*'12-Hypothèses'!$C$58/(A55^4)/(EXP('12-Hypothèses'!$C$59*'12-Hypothèses'!$C$58/'13-BilanPhotoniqueEtoile'!A55/'12-Hypothèses'!$C$60/'12-Hypothèses'!$C$5)-1)</f>
        <v>2.972041810858828E+32</v>
      </c>
      <c r="C55" s="1">
        <f>B55*'12-Hypothèses'!$C$59*'12-Hypothèses'!$C$58/'13-BilanPhotoniqueEtoile'!A55</f>
        <v>74731647372834.31</v>
      </c>
      <c r="E55" s="1">
        <f t="shared" si="3"/>
        <v>0</v>
      </c>
      <c r="F55" s="1">
        <f t="shared" si="4"/>
        <v>577747179.169723</v>
      </c>
      <c r="G55" s="1">
        <v>0.78</v>
      </c>
      <c r="H55" s="1">
        <f>G55^(1/COS((90-'12-Hypothèses'!$C$30)*PI()/180))</f>
        <v>0.78</v>
      </c>
      <c r="I55" s="1">
        <f>'12-Hypothèses'!$C$42</f>
        <v>0.7201949999999999</v>
      </c>
      <c r="J55" s="1">
        <v>1</v>
      </c>
      <c r="K55" s="1">
        <f>('12-Hypothèses'!$C$50/2)+('12-Hypothèses'!$C$50/2)*IF(A55&lt;'12-Hypothèses'!$C$51,COS((A55-'12-Hypothèses'!$C$51)*PI()/(2*('12-Hypothèses'!$C$51-'12-Hypothèses'!$C$52))),IF(A55&lt;'12-Hypothèses'!$C$53,COS((A55-'12-Hypothèses'!$C$51)*PI()/(2*('12-Hypothèses'!$C$53-'12-Hypothèses'!$C$51))),COS((PI()/2+(A55-'12-Hypothèses'!$C$53)*PI()/(2*(0.0000011-'12-Hypothèses'!$C$53))))))</f>
        <v>0.47616517300971145</v>
      </c>
      <c r="L55" s="1">
        <f t="shared" si="5"/>
        <v>154539736.01027414</v>
      </c>
    </row>
    <row r="56" spans="1:12" ht="12.75">
      <c r="A56" s="1">
        <v>8.00000000000001E-07</v>
      </c>
      <c r="B56" s="1">
        <f>2*'12-Hypothèses'!$C$58/(A56^4)/(EXP('12-Hypothèses'!$C$59*'12-Hypothèses'!$C$58/'13-BilanPhotoniqueEtoile'!A56/'12-Hypothèses'!$C$60/'12-Hypothèses'!$C$5)-1)</f>
        <v>2.904191828495952E+32</v>
      </c>
      <c r="C56" s="1">
        <f>B56*'12-Hypothèses'!$C$59*'12-Hypothèses'!$C$58/'13-BilanPhotoniqueEtoile'!A56</f>
        <v>72112747826019.34</v>
      </c>
      <c r="E56" s="1">
        <f t="shared" si="3"/>
        <v>0</v>
      </c>
      <c r="F56" s="1">
        <f t="shared" si="4"/>
        <v>564557547.7945374</v>
      </c>
      <c r="G56" s="1">
        <v>0.78</v>
      </c>
      <c r="H56" s="1">
        <f>G56^(1/COS((90-'12-Hypothèses'!$C$30)*PI()/180))</f>
        <v>0.78</v>
      </c>
      <c r="I56" s="1">
        <f>'12-Hypothèses'!$C$42</f>
        <v>0.7201949999999999</v>
      </c>
      <c r="J56" s="1">
        <v>1</v>
      </c>
      <c r="K56" s="1">
        <f>('12-Hypothèses'!$C$50/2)+('12-Hypothèses'!$C$50/2)*IF(A56&lt;'12-Hypothèses'!$C$51,COS((A56-'12-Hypothèses'!$C$51)*PI()/(2*('12-Hypothèses'!$C$51-'12-Hypothèses'!$C$52))),IF(A56&lt;'12-Hypothèses'!$C$53,COS((A56-'12-Hypothèses'!$C$51)*PI()/(2*('12-Hypothèses'!$C$53-'12-Hypothèses'!$C$51))),COS((PI()/2+(A56-'12-Hypothèses'!$C$53)*PI()/(2*(0.0000011-'12-Hypothèses'!$C$53))))))</f>
        <v>0.4499999999999975</v>
      </c>
      <c r="L56" s="1">
        <f t="shared" si="5"/>
        <v>142713624.6199935</v>
      </c>
    </row>
    <row r="57" spans="1:12" ht="12.75">
      <c r="A57" s="1">
        <v>8.10000000000001E-07</v>
      </c>
      <c r="B57" s="1">
        <f>2*'12-Hypothèses'!$C$58/(A57^4)/(EXP('12-Hypothèses'!$C$59*'12-Hypothèses'!$C$58/'13-BilanPhotoniqueEtoile'!A57/'12-Hypothèses'!$C$60/'12-Hypothèses'!$C$5)-1)</f>
        <v>2.8380940220370027E+32</v>
      </c>
      <c r="C57" s="1">
        <f>B57*'12-Hypothèses'!$C$59*'12-Hypothèses'!$C$58/'13-BilanPhotoniqueEtoile'!A57</f>
        <v>69601482867586.88</v>
      </c>
      <c r="E57" s="1">
        <f t="shared" si="3"/>
        <v>0</v>
      </c>
      <c r="F57" s="1">
        <f t="shared" si="4"/>
        <v>551708528.9511822</v>
      </c>
      <c r="G57" s="1">
        <v>0.77</v>
      </c>
      <c r="H57" s="1">
        <f>G57^(1/COS((90-'12-Hypothèses'!$C$30)*PI()/180))</f>
        <v>0.77</v>
      </c>
      <c r="I57" s="1">
        <f>'12-Hypothèses'!$C$42</f>
        <v>0.7201949999999999</v>
      </c>
      <c r="J57" s="1">
        <v>1</v>
      </c>
      <c r="K57" s="1">
        <f>('12-Hypothèses'!$C$50/2)+('12-Hypothèses'!$C$50/2)*IF(A57&lt;'12-Hypothèses'!$C$51,COS((A57-'12-Hypothèses'!$C$51)*PI()/(2*('12-Hypothèses'!$C$51-'12-Hypothèses'!$C$52))),IF(A57&lt;'12-Hypothèses'!$C$53,COS((A57-'12-Hypothèses'!$C$51)*PI()/(2*('12-Hypothèses'!$C$53-'12-Hypothèses'!$C$51))),COS((PI()/2+(A57-'12-Hypothèses'!$C$53)*PI()/(2*(0.0000011-'12-Hypothèses'!$C$53))))))</f>
        <v>0.4264488196906728</v>
      </c>
      <c r="L57" s="1">
        <f t="shared" si="5"/>
        <v>130472036.63477711</v>
      </c>
    </row>
    <row r="58" spans="1:12" ht="12.75">
      <c r="A58" s="1">
        <v>8.20000000000001E-07</v>
      </c>
      <c r="B58" s="1">
        <f>2*'12-Hypothèses'!$C$58/(A58^4)/(EXP('12-Hypothèses'!$C$59*'12-Hypothèses'!$C$58/'13-BilanPhotoniqueEtoile'!A58/'12-Hypothèses'!$C$60/'12-Hypothèses'!$C$5)-1)</f>
        <v>2.7737107822445673E+32</v>
      </c>
      <c r="C58" s="1">
        <f>B58*'12-Hypothèses'!$C$59*'12-Hypothèses'!$C$58/'13-BilanPhotoniqueEtoile'!A58</f>
        <v>67193003564866.195</v>
      </c>
      <c r="E58" s="1">
        <f t="shared" si="3"/>
        <v>0</v>
      </c>
      <c r="F58" s="1">
        <f t="shared" si="4"/>
        <v>539192811.6285049</v>
      </c>
      <c r="G58" s="1">
        <v>0.76</v>
      </c>
      <c r="H58" s="1">
        <f>G58^(1/COS((90-'12-Hypothèses'!$C$30)*PI()/180))</f>
        <v>0.76</v>
      </c>
      <c r="I58" s="1">
        <f>'12-Hypothèses'!$C$42</f>
        <v>0.7201949999999999</v>
      </c>
      <c r="J58" s="1">
        <v>1</v>
      </c>
      <c r="K58" s="1">
        <f>('12-Hypothèses'!$C$50/2)+('12-Hypothèses'!$C$50/2)*IF(A58&lt;'12-Hypothèses'!$C$51,COS((A58-'12-Hypothèses'!$C$51)*PI()/(2*('12-Hypothèses'!$C$51-'12-Hypothèses'!$C$52))),IF(A58&lt;'12-Hypothèses'!$C$53,COS((A58-'12-Hypothèses'!$C$51)*PI()/(2*('12-Hypothèses'!$C$53-'12-Hypothèses'!$C$51))),COS((PI()/2+(A58-'12-Hypothèses'!$C$53)*PI()/(2*(0.0000011-'12-Hypothèses'!$C$53))))))</f>
        <v>0.4029621915295534</v>
      </c>
      <c r="L58" s="1">
        <f t="shared" si="5"/>
        <v>118924706.3330399</v>
      </c>
    </row>
    <row r="59" spans="1:12" ht="12.75">
      <c r="A59" s="1">
        <v>8.30000000000001E-07</v>
      </c>
      <c r="B59" s="1">
        <f>2*'12-Hypothèses'!$C$58/(A59^4)/(EXP('12-Hypothèses'!$C$59*'12-Hypothèses'!$C$58/'13-BilanPhotoniqueEtoile'!A59/'12-Hypothèses'!$C$60/'12-Hypothèses'!$C$5)-1)</f>
        <v>2.7110038795060163E+32</v>
      </c>
      <c r="C59" s="1">
        <f>B59*'12-Hypothèses'!$C$59*'12-Hypothèses'!$C$58/'13-BilanPhotoniqueEtoile'!A59</f>
        <v>64882679821197.516</v>
      </c>
      <c r="E59" s="1">
        <f t="shared" si="3"/>
        <v>0</v>
      </c>
      <c r="F59" s="1">
        <f t="shared" si="4"/>
        <v>527002964.218115</v>
      </c>
      <c r="G59" s="1">
        <v>0.75</v>
      </c>
      <c r="H59" s="1">
        <f>G59^(1/COS((90-'12-Hypothèses'!$C$30)*PI()/180))</f>
        <v>0.75</v>
      </c>
      <c r="I59" s="1">
        <f>'12-Hypothèses'!$C$42</f>
        <v>0.7201949999999999</v>
      </c>
      <c r="J59" s="1">
        <v>1</v>
      </c>
      <c r="K59" s="1">
        <f>('12-Hypothèses'!$C$50/2)+('12-Hypothèses'!$C$50/2)*IF(A59&lt;'12-Hypothèses'!$C$51,COS((A59-'12-Hypothèses'!$C$51)*PI()/(2*('12-Hypothèses'!$C$51-'12-Hypothèses'!$C$52))),IF(A59&lt;'12-Hypothèses'!$C$53,COS((A59-'12-Hypothèses'!$C$51)*PI()/(2*('12-Hypothèses'!$C$53-'12-Hypothèses'!$C$51))),COS((PI()/2+(A59-'12-Hypothèses'!$C$53)*PI()/(2*(0.0000011-'12-Hypothèses'!$C$53))))))</f>
        <v>0.3796044907318939</v>
      </c>
      <c r="L59" s="1">
        <f t="shared" si="5"/>
        <v>108057711.30313917</v>
      </c>
    </row>
    <row r="60" spans="1:12" ht="12.75">
      <c r="A60" s="1">
        <v>8.40000000000001E-07</v>
      </c>
      <c r="B60" s="1">
        <f>2*'12-Hypothèses'!$C$58/(A60^4)/(EXP('12-Hypothèses'!$C$59*'12-Hypothèses'!$C$58/'13-BilanPhotoniqueEtoile'!A60/'12-Hypothèses'!$C$60/'12-Hypothèses'!$C$5)-1)</f>
        <v>2.6499346834647998E+32</v>
      </c>
      <c r="C60" s="1">
        <f>B60*'12-Hypothèses'!$C$59*'12-Hypothèses'!$C$58/'13-BilanPhotoniqueEtoile'!A60</f>
        <v>62666092543855.99</v>
      </c>
      <c r="E60" s="1">
        <f t="shared" si="3"/>
        <v>0</v>
      </c>
      <c r="F60" s="1">
        <f t="shared" si="4"/>
        <v>515131477.2093975</v>
      </c>
      <c r="G60" s="1">
        <v>0.78</v>
      </c>
      <c r="H60" s="1">
        <f>G60^(1/COS((90-'12-Hypothèses'!$C$30)*PI()/180))</f>
        <v>0.78</v>
      </c>
      <c r="I60" s="1">
        <f>'12-Hypothèses'!$C$42</f>
        <v>0.7201949999999999</v>
      </c>
      <c r="J60" s="1">
        <v>1</v>
      </c>
      <c r="K60" s="1">
        <f>('12-Hypothèses'!$C$50/2)+('12-Hypothèses'!$C$50/2)*IF(A60&lt;'12-Hypothèses'!$C$51,COS((A60-'12-Hypothèses'!$C$51)*PI()/(2*('12-Hypothèses'!$C$51-'12-Hypothèses'!$C$52))),IF(A60&lt;'12-Hypothèses'!$C$53,COS((A60-'12-Hypothèses'!$C$51)*PI()/(2*('12-Hypothèses'!$C$53-'12-Hypothèses'!$C$51))),COS((PI()/2+(A60-'12-Hypothèses'!$C$53)*PI()/(2*(0.0000011-'12-Hypothèses'!$C$53))))))</f>
        <v>0.35643973913200605</v>
      </c>
      <c r="L60" s="1">
        <f t="shared" si="5"/>
        <v>103145173.35327668</v>
      </c>
    </row>
    <row r="61" spans="1:12" ht="12.75">
      <c r="A61" s="1">
        <v>8.50000000000001E-07</v>
      </c>
      <c r="B61" s="1">
        <f>2*'12-Hypothèses'!$C$58/(A61^4)/(EXP('12-Hypothèses'!$C$59*'12-Hypothèses'!$C$58/'13-BilanPhotoniqueEtoile'!A61/'12-Hypothèses'!$C$60/'12-Hypothèses'!$C$5)-1)</f>
        <v>2.5904643541729676E+32</v>
      </c>
      <c r="C61" s="1">
        <f>B61*'12-Hypothèses'!$C$59*'12-Hypothèses'!$C$58/'13-BilanPhotoniqueEtoile'!A61</f>
        <v>60539025699280.72</v>
      </c>
      <c r="E61" s="1">
        <f t="shared" si="3"/>
        <v>0</v>
      </c>
      <c r="F61" s="1">
        <f t="shared" si="4"/>
        <v>503570800.3484209</v>
      </c>
      <c r="G61" s="1">
        <v>0.78</v>
      </c>
      <c r="H61" s="1">
        <f>G61^(1/COS((90-'12-Hypothèses'!$C$30)*PI()/180))</f>
        <v>0.78</v>
      </c>
      <c r="I61" s="1">
        <f>'12-Hypothèses'!$C$42</f>
        <v>0.7201949999999999</v>
      </c>
      <c r="J61" s="1">
        <v>1</v>
      </c>
      <c r="K61" s="1">
        <f>('12-Hypothèses'!$C$50/2)+('12-Hypothèses'!$C$50/2)*IF(A61&lt;'12-Hypothèses'!$C$51,COS((A61-'12-Hypothèses'!$C$51)*PI()/(2*('12-Hypothèses'!$C$51-'12-Hypothèses'!$C$52))),IF(A61&lt;'12-Hypothèses'!$C$53,COS((A61-'12-Hypothèses'!$C$51)*PI()/(2*('12-Hypothèses'!$C$53-'12-Hypothèses'!$C$51))),COS((PI()/2+(A61-'12-Hypothèses'!$C$53)*PI()/(2*(0.0000011-'12-Hypothèses'!$C$53))))))</f>
        <v>0.3335314297038634</v>
      </c>
      <c r="L61" s="1">
        <f t="shared" si="5"/>
        <v>94350022.75329566</v>
      </c>
    </row>
    <row r="62" spans="1:12" ht="12.75">
      <c r="A62" s="1">
        <v>8.60000000000001E-07</v>
      </c>
      <c r="B62" s="1">
        <f>2*'12-Hypothèses'!$C$58/(A62^4)/(EXP('12-Hypothèses'!$C$59*'12-Hypothèses'!$C$58/'13-BilanPhotoniqueEtoile'!A62/'12-Hypothèses'!$C$60/'12-Hypothèses'!$C$5)-1)</f>
        <v>2.532554007942917E+32</v>
      </c>
      <c r="C62" s="1">
        <f>B62*'12-Hypothèses'!$C$59*'12-Hypothèses'!$C$58/'13-BilanPhotoniqueEtoile'!A62</f>
        <v>58497458338187.41</v>
      </c>
      <c r="E62" s="1">
        <f t="shared" si="3"/>
        <v>0</v>
      </c>
      <c r="F62" s="1">
        <f t="shared" si="4"/>
        <v>492313374.8785264</v>
      </c>
      <c r="G62" s="1">
        <v>0.79</v>
      </c>
      <c r="H62" s="1">
        <f>G62^(1/COS((90-'12-Hypothèses'!$C$30)*PI()/180))</f>
        <v>0.79</v>
      </c>
      <c r="I62" s="1">
        <f>'12-Hypothèses'!$C$42</f>
        <v>0.7201949999999999</v>
      </c>
      <c r="J62" s="1">
        <v>1</v>
      </c>
      <c r="K62" s="1">
        <f>('12-Hypothèses'!$C$50/2)+('12-Hypothèses'!$C$50/2)*IF(A62&lt;'12-Hypothèses'!$C$51,COS((A62-'12-Hypothèses'!$C$51)*PI()/(2*('12-Hypothèses'!$C$51-'12-Hypothèses'!$C$52))),IF(A62&lt;'12-Hypothèses'!$C$53,COS((A62-'12-Hypothèses'!$C$51)*PI()/(2*('12-Hypothèses'!$C$53-'12-Hypothèses'!$C$51))),COS((PI()/2+(A62-'12-Hypothèses'!$C$53)*PI()/(2*(0.0000011-'12-Hypothèses'!$C$53))))))</f>
        <v>0.3109423525312714</v>
      </c>
      <c r="L62" s="1">
        <f t="shared" si="5"/>
        <v>87096099.85683717</v>
      </c>
    </row>
    <row r="63" spans="1:12" ht="12.75">
      <c r="A63" s="1">
        <v>8.70000000000001E-07</v>
      </c>
      <c r="B63" s="1">
        <f>2*'12-Hypothèses'!$C$58/(A63^4)/(EXP('12-Hypothèses'!$C$59*'12-Hypothèses'!$C$58/'13-BilanPhotoniqueEtoile'!A63/'12-Hypothèses'!$C$60/'12-Hypothèses'!$C$5)-1)</f>
        <v>2.4761648607383157E+32</v>
      </c>
      <c r="C63" s="1">
        <f>B63*'12-Hypothèses'!$C$59*'12-Hypothèses'!$C$58/'13-BilanPhotoniqueEtoile'!A63</f>
        <v>56537556657831.9</v>
      </c>
      <c r="E63" s="1">
        <f t="shared" si="3"/>
        <v>0</v>
      </c>
      <c r="F63" s="1">
        <f t="shared" si="4"/>
        <v>481351661.41466683</v>
      </c>
      <c r="G63" s="1">
        <v>0.8</v>
      </c>
      <c r="H63" s="1">
        <f>G63^(1/COS((90-'12-Hypothèses'!$C$30)*PI()/180))</f>
        <v>0.8</v>
      </c>
      <c r="I63" s="1">
        <f>'12-Hypothèses'!$C$42</f>
        <v>0.7201949999999999</v>
      </c>
      <c r="J63" s="1">
        <v>1</v>
      </c>
      <c r="K63" s="1">
        <f>('12-Hypothèses'!$C$50/2)+('12-Hypothèses'!$C$50/2)*IF(A63&lt;'12-Hypothèses'!$C$51,COS((A63-'12-Hypothèses'!$C$51)*PI()/(2*('12-Hypothèses'!$C$51-'12-Hypothèses'!$C$52))),IF(A63&lt;'12-Hypothèses'!$C$53,COS((A63-'12-Hypothèses'!$C$51)*PI()/(2*('12-Hypothèses'!$C$53-'12-Hypothèses'!$C$51))),COS((PI()/2+(A63-'12-Hypothèses'!$C$53)*PI()/(2*(0.0000011-'12-Hypothèses'!$C$53))))))</f>
        <v>0.28873442270461275</v>
      </c>
      <c r="L63" s="1">
        <f t="shared" si="5"/>
        <v>80075770.70392267</v>
      </c>
    </row>
    <row r="64" spans="1:12" ht="12.75">
      <c r="A64" s="1">
        <v>8.80000000000001E-07</v>
      </c>
      <c r="B64" s="1">
        <f>2*'12-Hypothèses'!$C$58/(A64^4)/(EXP('12-Hypothèses'!$C$59*'12-Hypothèses'!$C$58/'13-BilanPhotoniqueEtoile'!A64/'12-Hypothèses'!$C$60/'12-Hypothèses'!$C$5)-1)</f>
        <v>2.4212583516407706E+32</v>
      </c>
      <c r="C64" s="1">
        <f>B64*'12-Hypothèses'!$C$59*'12-Hypothèses'!$C$58/'13-BilanPhotoniqueEtoile'!A64</f>
        <v>54655666155727.805</v>
      </c>
      <c r="E64" s="1">
        <f t="shared" si="3"/>
        <v>0</v>
      </c>
      <c r="F64" s="1">
        <f t="shared" si="4"/>
        <v>470678163.9445903</v>
      </c>
      <c r="G64" s="1">
        <v>0.81</v>
      </c>
      <c r="H64" s="1">
        <f>G64^(1/COS((90-'12-Hypothèses'!$C$30)*PI()/180))</f>
        <v>0.81</v>
      </c>
      <c r="I64" s="1">
        <f>'12-Hypothèses'!$C$42</f>
        <v>0.7201949999999999</v>
      </c>
      <c r="J64" s="1">
        <v>1</v>
      </c>
      <c r="K64" s="1">
        <f>('12-Hypothèses'!$C$50/2)+('12-Hypothèses'!$C$50/2)*IF(A64&lt;'12-Hypothèses'!$C$51,COS((A64-'12-Hypothèses'!$C$51)*PI()/(2*('12-Hypothèses'!$C$51-'12-Hypothèses'!$C$52))),IF(A64&lt;'12-Hypothèses'!$C$53,COS((A64-'12-Hypothèses'!$C$51)*PI()/(2*('12-Hypothèses'!$C$53-'12-Hypothèses'!$C$51))),COS((PI()/2+(A64-'12-Hypothèses'!$C$53)*PI()/(2*(0.0000011-'12-Hypothèses'!$C$53))))))</f>
        <v>0.2669685106158878</v>
      </c>
      <c r="L64" s="1">
        <f t="shared" si="5"/>
        <v>73302571.47581124</v>
      </c>
    </row>
    <row r="65" spans="1:12" ht="12.75">
      <c r="A65" s="1">
        <v>8.90000000000001E-07</v>
      </c>
      <c r="B65" s="1">
        <f>2*'12-Hypothèses'!$C$58/(A65^4)/(EXP('12-Hypothèses'!$C$59*'12-Hypothèses'!$C$58/'13-BilanPhotoniqueEtoile'!A65/'12-Hypothèses'!$C$60/'12-Hypothèses'!$C$5)-1)</f>
        <v>2.3677962486570524E+32</v>
      </c>
      <c r="C65" s="1">
        <f>B65*'12-Hypothèses'!$C$59*'12-Hypothèses'!$C$58/'13-BilanPhotoniqueEtoile'!A65</f>
        <v>52848303918174.95</v>
      </c>
      <c r="E65" s="1">
        <f t="shared" si="3"/>
        <v>0</v>
      </c>
      <c r="F65" s="1">
        <f t="shared" si="4"/>
        <v>460285450.3971322</v>
      </c>
      <c r="G65" s="1">
        <v>0.815</v>
      </c>
      <c r="H65" s="1">
        <f>G65^(1/COS((90-'12-Hypothèses'!$C$30)*PI()/180))</f>
        <v>0.815</v>
      </c>
      <c r="I65" s="1">
        <f>'12-Hypothèses'!$C$42</f>
        <v>0.7201949999999999</v>
      </c>
      <c r="J65" s="1">
        <v>1</v>
      </c>
      <c r="K65" s="1">
        <f>('12-Hypothèses'!$C$50/2)+('12-Hypothèses'!$C$50/2)*IF(A65&lt;'12-Hypothèses'!$C$51,COS((A65-'12-Hypothèses'!$C$51)*PI()/(2*('12-Hypothèses'!$C$51-'12-Hypothèses'!$C$52))),IF(A65&lt;'12-Hypothèses'!$C$53,COS((A65-'12-Hypothèses'!$C$51)*PI()/(2*('12-Hypothèses'!$C$53-'12-Hypothèses'!$C$51))),COS((PI()/2+(A65-'12-Hypothèses'!$C$53)*PI()/(2*(0.0000011-'12-Hypothèses'!$C$53))))))</f>
        <v>0.24570427511720186</v>
      </c>
      <c r="L65" s="1">
        <f t="shared" si="5"/>
        <v>66381593.08363646</v>
      </c>
    </row>
    <row r="66" spans="1:12" ht="12.75">
      <c r="A66" s="1">
        <v>9.00000000000001E-07</v>
      </c>
      <c r="B66" s="1">
        <f>2*'12-Hypothèses'!$C$58/(A66^4)/(EXP('12-Hypothèses'!$C$59*'12-Hypothèses'!$C$58/'13-BilanPhotoniqueEtoile'!A66/'12-Hypothèses'!$C$60/'12-Hypothèses'!$C$5)-1)</f>
        <v>2.3157407388881565E+32</v>
      </c>
      <c r="C66" s="1">
        <f>B66*'12-Hypothèses'!$C$59*'12-Hypothèses'!$C$58/'13-BilanPhotoniqueEtoile'!A66</f>
        <v>51112151077726.36</v>
      </c>
      <c r="E66" s="1">
        <f t="shared" si="3"/>
        <v>0</v>
      </c>
      <c r="F66" s="1">
        <f t="shared" si="4"/>
        <v>450166170.17054254</v>
      </c>
      <c r="G66" s="1">
        <v>0.82</v>
      </c>
      <c r="H66" s="1">
        <f>G66^(1/COS((90-'12-Hypothèses'!$C$30)*PI()/180))</f>
        <v>0.82</v>
      </c>
      <c r="I66" s="1">
        <f>'12-Hypothèses'!$C$42</f>
        <v>0.7201949999999999</v>
      </c>
      <c r="J66" s="1">
        <v>1</v>
      </c>
      <c r="K66" s="1">
        <f>('12-Hypothèses'!$C$50/2)+('12-Hypothèses'!$C$50/2)*IF(A66&lt;'12-Hypothèses'!$C$51,COS((A66-'12-Hypothèses'!$C$51)*PI()/(2*('12-Hypothèses'!$C$51-'12-Hypothèses'!$C$52))),IF(A66&lt;'12-Hypothèses'!$C$53,COS((A66-'12-Hypothèses'!$C$51)*PI()/(2*('12-Hypothèses'!$C$53-'12-Hypothèses'!$C$51))),COS((PI()/2+(A66-'12-Hypothèses'!$C$53)*PI()/(2*(0.0000011-'12-Hypothèses'!$C$53))))))</f>
        <v>0.224999999999998</v>
      </c>
      <c r="L66" s="1">
        <f t="shared" si="5"/>
        <v>59816269.89884164</v>
      </c>
    </row>
    <row r="67" spans="1:12" ht="12.75">
      <c r="A67" s="1">
        <v>9.10000000000001E-07</v>
      </c>
      <c r="B67" s="1">
        <f>2*'12-Hypothèses'!$C$58/(A67^4)/(EXP('12-Hypothèses'!$C$59*'12-Hypothèses'!$C$58/'13-BilanPhotoniqueEtoile'!A67/'12-Hypothèses'!$C$60/'12-Hypothèses'!$C$5)-1)</f>
        <v>2.265054504863504E+32</v>
      </c>
      <c r="C67" s="1">
        <f>B67*'12-Hypothèses'!$C$59*'12-Hypothèses'!$C$58/'13-BilanPhotoniqueEtoile'!A67</f>
        <v>49444045465962.85</v>
      </c>
      <c r="E67" s="1">
        <f aca="true" t="shared" si="6" ref="E67:E98">C67*D67*673</f>
        <v>0</v>
      </c>
      <c r="F67" s="1">
        <f aca="true" t="shared" si="7" ref="F67:F86">B67*$E$90</f>
        <v>440313068.9713984</v>
      </c>
      <c r="G67" s="1">
        <v>0.78</v>
      </c>
      <c r="H67" s="1">
        <f>G67^(1/COS((90-'12-Hypothèses'!$C$30)*PI()/180))</f>
        <v>0.78</v>
      </c>
      <c r="I67" s="1">
        <f>'12-Hypothèses'!$C$42</f>
        <v>0.7201949999999999</v>
      </c>
      <c r="J67" s="1">
        <v>1</v>
      </c>
      <c r="K67" s="1">
        <f>('12-Hypothèses'!$C$50/2)+('12-Hypothèses'!$C$50/2)*IF(A67&lt;'12-Hypothèses'!$C$51,COS((A67-'12-Hypothèses'!$C$51)*PI()/(2*('12-Hypothèses'!$C$51-'12-Hypothèses'!$C$52))),IF(A67&lt;'12-Hypothèses'!$C$53,COS((A67-'12-Hypothèses'!$C$51)*PI()/(2*('12-Hypothèses'!$C$53-'12-Hypothèses'!$C$51))),COS((PI()/2+(A67-'12-Hypothèses'!$C$53)*PI()/(2*(0.0000011-'12-Hypothèses'!$C$53))))))</f>
        <v>0.20491243424323577</v>
      </c>
      <c r="L67" s="1">
        <f aca="true" t="shared" si="8" ref="L67:L98">F67*H67*I67*J67*K67</f>
        <v>50684433.07723577</v>
      </c>
    </row>
    <row r="68" spans="1:12" ht="12.75">
      <c r="A68" s="1">
        <v>9.20000000000001E-07</v>
      </c>
      <c r="B68" s="1">
        <f>2*'12-Hypothèses'!$C$58/(A68^4)/(EXP('12-Hypothèses'!$C$59*'12-Hypothèses'!$C$58/'13-BilanPhotoniqueEtoile'!A68/'12-Hypothèses'!$C$60/'12-Hypothèses'!$C$5)-1)</f>
        <v>2.2157007886485382E+32</v>
      </c>
      <c r="C68" s="1">
        <f>B68*'12-Hypothèses'!$C$59*'12-Hypothèses'!$C$58/'13-BilanPhotoniqueEtoile'!A68</f>
        <v>47840974481440.195</v>
      </c>
      <c r="E68" s="1">
        <f t="shared" si="6"/>
        <v>0</v>
      </c>
      <c r="F68" s="1">
        <f t="shared" si="7"/>
        <v>430719001.27673846</v>
      </c>
      <c r="G68" s="1">
        <v>0.7</v>
      </c>
      <c r="H68" s="1">
        <f>G68^(1/COS((90-'12-Hypothèses'!$C$30)*PI()/180))</f>
        <v>0.7</v>
      </c>
      <c r="I68" s="1">
        <f>'12-Hypothèses'!$C$42</f>
        <v>0.7201949999999999</v>
      </c>
      <c r="J68" s="1">
        <v>1</v>
      </c>
      <c r="K68" s="1">
        <f>('12-Hypothèses'!$C$50/2)+('12-Hypothèses'!$C$50/2)*IF(A68&lt;'12-Hypothèses'!$C$51,COS((A68-'12-Hypothèses'!$C$51)*PI()/(2*('12-Hypothèses'!$C$51-'12-Hypothèses'!$C$52))),IF(A68&lt;'12-Hypothèses'!$C$53,COS((A68-'12-Hypothèses'!$C$51)*PI()/(2*('12-Hypothèses'!$C$53-'12-Hypothèses'!$C$51))),COS((PI()/2+(A68-'12-Hypothèses'!$C$53)*PI()/(2*(0.0000011-'12-Hypothèses'!$C$53))))))</f>
        <v>0.1854966364683852</v>
      </c>
      <c r="L68" s="1">
        <f t="shared" si="8"/>
        <v>40278956.63432696</v>
      </c>
    </row>
    <row r="69" spans="1:12" ht="12.75">
      <c r="A69" s="1">
        <v>9.30000000000001E-07</v>
      </c>
      <c r="B69" s="1">
        <f>2*'12-Hypothèses'!$C$58/(A69^4)/(EXP('12-Hypothèses'!$C$59*'12-Hypothèses'!$C$58/'13-BilanPhotoniqueEtoile'!A69/'12-Hypothèses'!$C$60/'12-Hypothèses'!$C$5)-1)</f>
        <v>2.1676434451594957E+32</v>
      </c>
      <c r="C69" s="1">
        <f>B69*'12-Hypothèses'!$C$59*'12-Hypothèses'!$C$58/'13-BilanPhotoniqueEtoile'!A69</f>
        <v>46300068187237.7</v>
      </c>
      <c r="E69" s="1">
        <f t="shared" si="6"/>
        <v>0</v>
      </c>
      <c r="F69" s="1">
        <f t="shared" si="7"/>
        <v>421376940.69813526</v>
      </c>
      <c r="G69" s="1">
        <v>0.4</v>
      </c>
      <c r="H69" s="1">
        <f>G69^(1/COS((90-'12-Hypothèses'!$C$30)*PI()/180))</f>
        <v>0.4</v>
      </c>
      <c r="I69" s="1">
        <f>'12-Hypothèses'!$C$42</f>
        <v>0.7201949999999999</v>
      </c>
      <c r="J69" s="1">
        <v>1</v>
      </c>
      <c r="K69" s="1">
        <f>('12-Hypothèses'!$C$50/2)+('12-Hypothèses'!$C$50/2)*IF(A69&lt;'12-Hypothèses'!$C$51,COS((A69-'12-Hypothèses'!$C$51)*PI()/(2*('12-Hypothèses'!$C$51-'12-Hypothèses'!$C$52))),IF(A69&lt;'12-Hypothèses'!$C$53,COS((A69-'12-Hypothèses'!$C$51)*PI()/(2*('12-Hypothèses'!$C$53-'12-Hypothèses'!$C$51))),COS((PI()/2+(A69-'12-Hypothèses'!$C$53)*PI()/(2*(0.0000011-'12-Hypothèses'!$C$53))))))</f>
        <v>0.16680582402757121</v>
      </c>
      <c r="L69" s="1">
        <f t="shared" si="8"/>
        <v>20248463.285948314</v>
      </c>
    </row>
    <row r="70" spans="1:12" ht="12.75">
      <c r="A70" s="1">
        <v>9.40000000000001E-07</v>
      </c>
      <c r="B70" s="1">
        <f>2*'12-Hypothèses'!$C$58/(A70^4)/(EXP('12-Hypothèses'!$C$59*'12-Hypothèses'!$C$58/'13-BilanPhotoniqueEtoile'!A70/'12-Hypothèses'!$C$60/'12-Hypothèses'!$C$5)-1)</f>
        <v>2.1208469859630955E+32</v>
      </c>
      <c r="C70" s="1">
        <f>B70*'12-Hypothèses'!$C$59*'12-Hypothèses'!$C$58/'13-BilanPhotoniqueEtoile'!A70</f>
        <v>44818592648012.54</v>
      </c>
      <c r="E70" s="1">
        <f t="shared" si="6"/>
        <v>0</v>
      </c>
      <c r="F70" s="1">
        <f t="shared" si="7"/>
        <v>412279988.49609387</v>
      </c>
      <c r="G70" s="1">
        <v>0.3</v>
      </c>
      <c r="H70" s="1">
        <f>G70^(1/COS((90-'12-Hypothèses'!$C$30)*PI()/180))</f>
        <v>0.3</v>
      </c>
      <c r="I70" s="1">
        <f>'12-Hypothèses'!$C$42</f>
        <v>0.7201949999999999</v>
      </c>
      <c r="J70" s="1">
        <v>1</v>
      </c>
      <c r="K70" s="1">
        <f>('12-Hypothèses'!$C$50/2)+('12-Hypothèses'!$C$50/2)*IF(A70&lt;'12-Hypothèses'!$C$51,COS((A70-'12-Hypothèses'!$C$51)*PI()/(2*('12-Hypothèses'!$C$51-'12-Hypothèses'!$C$52))),IF(A70&lt;'12-Hypothèses'!$C$53,COS((A70-'12-Hypothèses'!$C$51)*PI()/(2*('12-Hypothèses'!$C$53-'12-Hypothèses'!$C$51))),COS((PI()/2+(A70-'12-Hypothèses'!$C$53)*PI()/(2*(0.0000011-'12-Hypothèses'!$C$53))))))</f>
        <v>0.14889122713851216</v>
      </c>
      <c r="L70" s="1">
        <f t="shared" si="8"/>
        <v>13262723.67205097</v>
      </c>
    </row>
    <row r="71" spans="1:12" ht="12.75">
      <c r="A71" s="1">
        <v>9.50000000000001E-07</v>
      </c>
      <c r="B71" s="1">
        <f>2*'12-Hypothèses'!$C$58/(A71^4)/(EXP('12-Hypothèses'!$C$59*'12-Hypothèses'!$C$58/'13-BilanPhotoniqueEtoile'!A71/'12-Hypothèses'!$C$60/'12-Hypothèses'!$C$5)-1)</f>
        <v>2.0752766146994606E+32</v>
      </c>
      <c r="C71" s="1">
        <f>B71*'12-Hypothèses'!$C$59*'12-Hypothèses'!$C$58/'13-BilanPhotoniqueEtoile'!A71</f>
        <v>43393943512713.62</v>
      </c>
      <c r="E71" s="1">
        <f t="shared" si="6"/>
        <v>0</v>
      </c>
      <c r="F71" s="1">
        <f t="shared" si="7"/>
        <v>403421380.46605605</v>
      </c>
      <c r="G71" s="1">
        <v>0.4</v>
      </c>
      <c r="H71" s="1">
        <f>G71^(1/COS((90-'12-Hypothèses'!$C$30)*PI()/180))</f>
        <v>0.4</v>
      </c>
      <c r="I71" s="1">
        <f>'12-Hypothèses'!$C$42</f>
        <v>0.7201949999999999</v>
      </c>
      <c r="J71" s="1">
        <v>1</v>
      </c>
      <c r="K71" s="1">
        <f>('12-Hypothèses'!$C$50/2)+('12-Hypothèses'!$C$50/2)*IF(A71&lt;'12-Hypothèses'!$C$51,COS((A71-'12-Hypothèses'!$C$51)*PI()/(2*('12-Hypothèses'!$C$51-'12-Hypothèses'!$C$52))),IF(A71&lt;'12-Hypothèses'!$C$53,COS((A71-'12-Hypothèses'!$C$51)*PI()/(2*('12-Hypothèses'!$C$53-'12-Hypothèses'!$C$51))),COS((PI()/2+(A71-'12-Hypothèses'!$C$53)*PI()/(2*(0.0000011-'12-Hypothèses'!$C$53))))))</f>
        <v>0.1318019484660521</v>
      </c>
      <c r="L71" s="1">
        <f t="shared" si="8"/>
        <v>15317603.90597959</v>
      </c>
    </row>
    <row r="72" spans="1:12" ht="12.75">
      <c r="A72" s="1">
        <v>9.60000000000001E-07</v>
      </c>
      <c r="B72" s="1">
        <f>2*'12-Hypothèses'!$C$58/(A72^4)/(EXP('12-Hypothèses'!$C$59*'12-Hypothèses'!$C$58/'13-BilanPhotoniqueEtoile'!A72/'12-Hypothèses'!$C$60/'12-Hypothèses'!$C$5)-1)</f>
        <v>2.0308982551419462E+32</v>
      </c>
      <c r="C72" s="1">
        <f>B72*'12-Hypothèses'!$C$59*'12-Hypothèses'!$C$58/'13-BilanPhotoniqueEtoile'!A72</f>
        <v>42023639846017.734</v>
      </c>
      <c r="E72" s="1">
        <f t="shared" si="6"/>
        <v>0</v>
      </c>
      <c r="F72" s="1">
        <f t="shared" si="7"/>
        <v>394794492.39306337</v>
      </c>
      <c r="G72" s="1">
        <v>0.5</v>
      </c>
      <c r="H72" s="1">
        <f>G72^(1/COS((90-'12-Hypothèses'!$C$30)*PI()/180))</f>
        <v>0.5</v>
      </c>
      <c r="I72" s="1">
        <f>'12-Hypothèses'!$C$42</f>
        <v>0.7201949999999999</v>
      </c>
      <c r="J72" s="1">
        <v>1</v>
      </c>
      <c r="K72" s="1">
        <f>('12-Hypothèses'!$C$50/2)+('12-Hypothèses'!$C$50/2)*IF(A72&lt;'12-Hypothèses'!$C$51,COS((A72-'12-Hypothèses'!$C$51)*PI()/(2*('12-Hypothèses'!$C$51-'12-Hypothèses'!$C$52))),IF(A72&lt;'12-Hypothèses'!$C$53,COS((A72-'12-Hypothèses'!$C$51)*PI()/(2*('12-Hypothèses'!$C$53-'12-Hypothèses'!$C$51))),COS((PI()/2+(A72-'12-Hypothèses'!$C$53)*PI()/(2*(0.0000011-'12-Hypothèses'!$C$53))))))</f>
        <v>0.11558482853517105</v>
      </c>
      <c r="L72" s="1">
        <f t="shared" si="8"/>
        <v>16432060.480294274</v>
      </c>
    </row>
    <row r="73" spans="1:12" ht="12.75">
      <c r="A73" s="1">
        <v>9.70000000000001E-07</v>
      </c>
      <c r="B73" s="1">
        <f>2*'12-Hypothèses'!$C$58/(A73^4)/(EXP('12-Hypothèses'!$C$59*'12-Hypothèses'!$C$58/'13-BilanPhotoniqueEtoile'!A73/'12-Hypothèses'!$C$60/'12-Hypothèses'!$C$5)-1)</f>
        <v>1.987678572796207E+32</v>
      </c>
      <c r="C73" s="1">
        <f>B73*'12-Hypothèses'!$C$59*'12-Hypothèses'!$C$58/'13-BilanPhotoniqueEtoile'!A73</f>
        <v>40705318209017.68</v>
      </c>
      <c r="E73" s="1">
        <f t="shared" si="6"/>
        <v>0</v>
      </c>
      <c r="F73" s="1">
        <f t="shared" si="7"/>
        <v>386392844.2504867</v>
      </c>
      <c r="G73" s="1">
        <v>0.6</v>
      </c>
      <c r="H73" s="1">
        <f>G73^(1/COS((90-'12-Hypothèses'!$C$30)*PI()/180))</f>
        <v>0.6</v>
      </c>
      <c r="I73" s="1">
        <f>'12-Hypothèses'!$C$42</f>
        <v>0.7201949999999999</v>
      </c>
      <c r="J73" s="1">
        <v>1</v>
      </c>
      <c r="K73" s="1">
        <f>('12-Hypothèses'!$C$50/2)+('12-Hypothèses'!$C$50/2)*IF(A73&lt;'12-Hypothèses'!$C$51,COS((A73-'12-Hypothèses'!$C$51)*PI()/(2*('12-Hypothèses'!$C$51-'12-Hypothèses'!$C$52))),IF(A73&lt;'12-Hypothèses'!$C$53,COS((A73-'12-Hypothèses'!$C$51)*PI()/(2*('12-Hypothèses'!$C$53-'12-Hypothèses'!$C$51))),COS((PI()/2+(A73-'12-Hypothèses'!$C$53)*PI()/(2*(0.0000011-'12-Hypothèses'!$C$53))))))</f>
        <v>0.1002843173443616</v>
      </c>
      <c r="L73" s="1">
        <f t="shared" si="8"/>
        <v>16744163.258245166</v>
      </c>
    </row>
    <row r="74" spans="1:12" ht="12.75">
      <c r="A74" s="1">
        <v>9.80000000000001E-07</v>
      </c>
      <c r="B74" s="1">
        <f>2*'12-Hypothèses'!$C$58/(A74^4)/(EXP('12-Hypothèses'!$C$59*'12-Hypothèses'!$C$58/'13-BilanPhotoniqueEtoile'!A74/'12-Hypothèses'!$C$60/'12-Hypothèses'!$C$5)-1)</f>
        <v>1.945584990841381E+32</v>
      </c>
      <c r="C74" s="1">
        <f>B74*'12-Hypothèses'!$C$59*'12-Hypothèses'!$C$58/'13-BilanPhotoniqueEtoile'!A74</f>
        <v>39436726987632.59</v>
      </c>
      <c r="E74" s="1">
        <f t="shared" si="6"/>
        <v>0</v>
      </c>
      <c r="F74" s="1">
        <f t="shared" si="7"/>
        <v>378210103.2988973</v>
      </c>
      <c r="G74" s="1">
        <v>0.7</v>
      </c>
      <c r="H74" s="1">
        <f>G74^(1/COS((90-'12-Hypothèses'!$C$30)*PI()/180))</f>
        <v>0.7</v>
      </c>
      <c r="I74" s="1">
        <f>'12-Hypothèses'!$C$42</f>
        <v>0.7201949999999999</v>
      </c>
      <c r="J74" s="1">
        <v>1</v>
      </c>
      <c r="K74" s="1">
        <f>('12-Hypothèses'!$C$50/2)+('12-Hypothèses'!$C$50/2)*IF(A74&lt;'12-Hypothèses'!$C$51,COS((A74-'12-Hypothèses'!$C$51)*PI()/(2*('12-Hypothèses'!$C$51-'12-Hypothèses'!$C$52))),IF(A74&lt;'12-Hypothèses'!$C$53,COS((A74-'12-Hypothèses'!$C$51)*PI()/(2*('12-Hypothèses'!$C$53-'12-Hypothèses'!$C$51))),COS((PI()/2+(A74-'12-Hypothèses'!$C$53)*PI()/(2*(0.0000011-'12-Hypothèses'!$C$53))))))</f>
        <v>0.08594235253127241</v>
      </c>
      <c r="L74" s="1">
        <f t="shared" si="8"/>
        <v>16386586.910728708</v>
      </c>
    </row>
    <row r="75" spans="1:12" ht="12.75">
      <c r="A75" s="1">
        <v>9.90000000000001E-07</v>
      </c>
      <c r="B75" s="1">
        <f>2*'12-Hypothèses'!$C$58/(A75^4)/(EXP('12-Hypothèses'!$C$59*'12-Hypothèses'!$C$58/'13-BilanPhotoniqueEtoile'!A75/'12-Hypothèses'!$C$60/'12-Hypothèses'!$C$5)-1)</f>
        <v>1.9045857011274385E+32</v>
      </c>
      <c r="C75" s="1">
        <f>B75*'12-Hypothèses'!$C$59*'12-Hypothèses'!$C$58/'13-BilanPhotoniqueEtoile'!A75</f>
        <v>38215720965552.36</v>
      </c>
      <c r="E75" s="1">
        <f t="shared" si="6"/>
        <v>0</v>
      </c>
      <c r="F75" s="1">
        <f t="shared" si="7"/>
        <v>370240086.223886</v>
      </c>
      <c r="G75" s="1">
        <v>0.8</v>
      </c>
      <c r="H75" s="1">
        <f>G75^(1/COS((90-'12-Hypothèses'!$C$30)*PI()/180))</f>
        <v>0.8</v>
      </c>
      <c r="I75" s="1">
        <f>'12-Hypothèses'!$C$42</f>
        <v>0.7201949999999999</v>
      </c>
      <c r="J75" s="1">
        <v>1</v>
      </c>
      <c r="K75" s="1">
        <f>('12-Hypothèses'!$C$50/2)+('12-Hypothèses'!$C$50/2)*IF(A75&lt;'12-Hypothèses'!$C$51,COS((A75-'12-Hypothèses'!$C$51)*PI()/(2*('12-Hypothèses'!$C$51-'12-Hypothèses'!$C$52))),IF(A75&lt;'12-Hypothèses'!$C$53,COS((A75-'12-Hypothèses'!$C$51)*PI()/(2*('12-Hypothèses'!$C$53-'12-Hypothèses'!$C$51))),COS((PI()/2+(A75-'12-Hypothèses'!$C$53)*PI()/(2*(0.0000011-'12-Hypothèses'!$C$53))))))</f>
        <v>0.07259824442455803</v>
      </c>
      <c r="L75" s="1">
        <f t="shared" si="8"/>
        <v>15486370.528382814</v>
      </c>
    </row>
    <row r="76" spans="1:12" ht="12.75">
      <c r="A76" s="1">
        <v>1E-06</v>
      </c>
      <c r="B76" s="1">
        <f>2*'12-Hypothèses'!$C$58/(A76^4)/(EXP('12-Hypothèses'!$C$59*'12-Hypothèses'!$C$58/'13-BilanPhotoniqueEtoile'!A76/'12-Hypothèses'!$C$60/'12-Hypothèses'!$C$5)-1)</f>
        <v>1.8646496708634708E+32</v>
      </c>
      <c r="C76" s="1">
        <f>B76*'12-Hypothèses'!$C$59*'12-Hypothèses'!$C$58/'13-BilanPhotoniqueEtoile'!A76</f>
        <v>37040256137208.555</v>
      </c>
      <c r="E76" s="1">
        <f t="shared" si="6"/>
        <v>0</v>
      </c>
      <c r="F76" s="1">
        <f t="shared" si="7"/>
        <v>362476760.436226</v>
      </c>
      <c r="G76" s="1">
        <v>0.84</v>
      </c>
      <c r="H76" s="1">
        <f>G76^(1/COS((90-'12-Hypothèses'!$C$30)*PI()/180))</f>
        <v>0.84</v>
      </c>
      <c r="I76" s="1">
        <f>'12-Hypothèses'!$C$42</f>
        <v>0.7201949999999999</v>
      </c>
      <c r="J76" s="1">
        <v>1</v>
      </c>
      <c r="K76" s="1">
        <f>('12-Hypothèses'!$C$50/2)+('12-Hypothèses'!$C$50/2)*IF(A76&lt;'12-Hypothèses'!$C$51,COS((A76-'12-Hypothèses'!$C$51)*PI()/(2*('12-Hypothèses'!$C$51-'12-Hypothèses'!$C$52))),IF(A76&lt;'12-Hypothèses'!$C$53,COS((A76-'12-Hypothèses'!$C$51)*PI()/(2*('12-Hypothèses'!$C$53-'12-Hypothèses'!$C$51))),COS((PI()/2+(A76-'12-Hypothèses'!$C$53)*PI()/(2*(0.0000011-'12-Hypothèses'!$C$53))))))</f>
        <v>0.06028856829700269</v>
      </c>
      <c r="L76" s="1">
        <f t="shared" si="8"/>
        <v>13220397.895201212</v>
      </c>
    </row>
    <row r="77" spans="1:12" ht="12.75">
      <c r="A77" s="1">
        <v>1.01E-06</v>
      </c>
      <c r="B77" s="1">
        <f>2*'12-Hypothèses'!$C$58/(A77^4)/(EXP('12-Hypothèses'!$C$59*'12-Hypothèses'!$C$58/'13-BilanPhotoniqueEtoile'!A77/'12-Hypothèses'!$C$60/'12-Hypothèses'!$C$5)-1)</f>
        <v>1.8257466455608265E+32</v>
      </c>
      <c r="C77" s="1">
        <f>B77*'12-Hypothèses'!$C$59*'12-Hypothèses'!$C$58/'13-BilanPhotoniqueEtoile'!A77</f>
        <v>35908384755226.31</v>
      </c>
      <c r="E77" s="1">
        <f t="shared" si="6"/>
        <v>0</v>
      </c>
      <c r="F77" s="1">
        <f t="shared" si="7"/>
        <v>354914244.6440016</v>
      </c>
      <c r="G77" s="1">
        <v>0.84</v>
      </c>
      <c r="H77" s="1">
        <f>G77^(1/COS((90-'12-Hypothèses'!$C$30)*PI()/180))</f>
        <v>0.84</v>
      </c>
      <c r="I77" s="1">
        <f>'12-Hypothèses'!$C$42</f>
        <v>0.7201949999999999</v>
      </c>
      <c r="J77" s="1">
        <v>1</v>
      </c>
      <c r="K77" s="1">
        <f>('12-Hypothèses'!$C$50/2)+('12-Hypothèses'!$C$50/2)*IF(A77&lt;'12-Hypothèses'!$C$51,COS((A77-'12-Hypothèses'!$C$51)*PI()/(2*('12-Hypothèses'!$C$51-'12-Hypothèses'!$C$52))),IF(A77&lt;'12-Hypothèses'!$C$53,COS((A77-'12-Hypothèses'!$C$51)*PI()/(2*('12-Hypothèses'!$C$53-'12-Hypothèses'!$C$51))),COS((PI()/2+(A77-'12-Hypothèses'!$C$53)*PI()/(2*(0.0000011-'12-Hypothèses'!$C$53))))))</f>
        <v>0.04904706411523452</v>
      </c>
      <c r="L77" s="1">
        <f t="shared" si="8"/>
        <v>10530908.384478956</v>
      </c>
    </row>
    <row r="78" spans="1:12" ht="12.75">
      <c r="A78" s="1">
        <v>1.02E-06</v>
      </c>
      <c r="B78" s="1">
        <f>2*'12-Hypothèses'!$C$58/(A78^4)/(EXP('12-Hypothèses'!$C$59*'12-Hypothèses'!$C$58/'13-BilanPhotoniqueEtoile'!A78/'12-Hypothèses'!$C$60/'12-Hypothèses'!$C$5)-1)</f>
        <v>1.7878471487319172E+32</v>
      </c>
      <c r="C78" s="1">
        <f>B78*'12-Hypothèses'!$C$59*'12-Hypothèses'!$C$58/'13-BilanPhotoniqueEtoile'!A78</f>
        <v>34818250606020.016</v>
      </c>
      <c r="E78" s="1">
        <f t="shared" si="6"/>
        <v>0</v>
      </c>
      <c r="F78" s="1">
        <f t="shared" si="7"/>
        <v>347546808.7940574</v>
      </c>
      <c r="G78" s="1">
        <v>0.84</v>
      </c>
      <c r="H78" s="1">
        <f>G78^(1/COS((90-'12-Hypothèses'!$C$30)*PI()/180))</f>
        <v>0.84</v>
      </c>
      <c r="I78" s="1">
        <f>'12-Hypothèses'!$C$42</f>
        <v>0.7201949999999999</v>
      </c>
      <c r="J78" s="1">
        <v>1</v>
      </c>
      <c r="K78" s="1">
        <f>('12-Hypothèses'!$C$50/2)+('12-Hypothèses'!$C$50/2)*IF(A78&lt;'12-Hypothèses'!$C$51,COS((A78-'12-Hypothèses'!$C$51)*PI()/(2*('12-Hypothèses'!$C$51-'12-Hypothèses'!$C$52))),IF(A78&lt;'12-Hypothèses'!$C$53,COS((A78-'12-Hypothèses'!$C$51)*PI()/(2*('12-Hypothèses'!$C$53-'12-Hypothèses'!$C$51))),COS((PI()/2+(A78-'12-Hypothèses'!$C$53)*PI()/(2*(0.0000011-'12-Hypothèses'!$C$53))))))</f>
        <v>0.038904544060829716</v>
      </c>
      <c r="L78" s="1">
        <f t="shared" si="8"/>
        <v>8179806.366602225</v>
      </c>
    </row>
    <row r="79" spans="1:12" ht="12.75">
      <c r="A79" s="1">
        <v>1.03E-06</v>
      </c>
      <c r="B79" s="1">
        <f>2*'12-Hypothèses'!$C$58/(A79^4)/(EXP('12-Hypothèses'!$C$59*'12-Hypothèses'!$C$58/'13-BilanPhotoniqueEtoile'!A79/'12-Hypothèses'!$C$60/'12-Hypothèses'!$C$5)-1)</f>
        <v>1.7509224787889704E+32</v>
      </c>
      <c r="C79" s="1">
        <f>B79*'12-Hypothèses'!$C$59*'12-Hypothèses'!$C$58/'13-BilanPhotoniqueEtoile'!A79</f>
        <v>33768084506594.98</v>
      </c>
      <c r="E79" s="1">
        <f t="shared" si="6"/>
        <v>0</v>
      </c>
      <c r="F79" s="1">
        <f t="shared" si="7"/>
        <v>340368873.4691348</v>
      </c>
      <c r="G79" s="1">
        <v>0.84</v>
      </c>
      <c r="H79" s="1">
        <f>G79^(1/COS((90-'12-Hypothèses'!$C$30)*PI()/180))</f>
        <v>0.84</v>
      </c>
      <c r="I79" s="1">
        <f>'12-Hypothèses'!$C$42</f>
        <v>0.7201949999999999</v>
      </c>
      <c r="J79" s="1">
        <v>1</v>
      </c>
      <c r="K79" s="1">
        <f>('12-Hypothèses'!$C$50/2)+('12-Hypothèses'!$C$50/2)*IF(A79&lt;'12-Hypothèses'!$C$51,COS((A79-'12-Hypothèses'!$C$51)*PI()/(2*('12-Hypothèses'!$C$51-'12-Hypothèses'!$C$52))),IF(A79&lt;'12-Hypothèses'!$C$53,COS((A79-'12-Hypothèses'!$C$51)*PI()/(2*('12-Hypothèses'!$C$53-'12-Hypothèses'!$C$51))),COS((PI()/2+(A79-'12-Hypothèses'!$C$53)*PI()/(2*(0.0000011-'12-Hypothèses'!$C$53))))))</f>
        <v>0.02988880807625921</v>
      </c>
      <c r="L79" s="1">
        <f t="shared" si="8"/>
        <v>6154429.7896605525</v>
      </c>
    </row>
    <row r="80" spans="1:12" ht="12.75">
      <c r="A80" s="1">
        <v>1.04E-06</v>
      </c>
      <c r="B80" s="1">
        <f>2*'12-Hypothèses'!$C$58/(A80^4)/(EXP('12-Hypothèses'!$C$59*'12-Hypothèses'!$C$58/'13-BilanPhotoniqueEtoile'!A80/'12-Hypothèses'!$C$60/'12-Hypothèses'!$C$5)-1)</f>
        <v>1.714944703536838E+32</v>
      </c>
      <c r="C80" s="1">
        <f>B80*'12-Hypothèses'!$C$59*'12-Hypothèses'!$C$58/'13-BilanPhotoniqueEtoile'!A80</f>
        <v>32756200015194.707</v>
      </c>
      <c r="E80" s="1">
        <f t="shared" si="6"/>
        <v>0</v>
      </c>
      <c r="F80" s="1">
        <f t="shared" si="7"/>
        <v>333375008.8173064</v>
      </c>
      <c r="G80" s="1">
        <v>0.86</v>
      </c>
      <c r="H80" s="1">
        <f>G80^(1/COS((90-'12-Hypothèses'!$C$30)*PI()/180))</f>
        <v>0.86</v>
      </c>
      <c r="I80" s="1">
        <f>'12-Hypothèses'!$C$42</f>
        <v>0.7201949999999999</v>
      </c>
      <c r="J80" s="1">
        <v>1</v>
      </c>
      <c r="K80" s="1">
        <f>('12-Hypothèses'!$C$50/2)+('12-Hypothèses'!$C$50/2)*IF(A80&lt;'12-Hypothèses'!$C$51,COS((A80-'12-Hypothèses'!$C$51)*PI()/(2*('12-Hypothèses'!$C$51-'12-Hypothèses'!$C$52))),IF(A80&lt;'12-Hypothèses'!$C$53,COS((A80-'12-Hypothèses'!$C$51)*PI()/(2*('12-Hypothèses'!$C$53-'12-Hypothèses'!$C$51))),COS((PI()/2+(A80-'12-Hypothèses'!$C$53)*PI()/(2*(0.0000011-'12-Hypothèses'!$C$53))))))</f>
        <v>0.022024567667180917</v>
      </c>
      <c r="L80" s="1">
        <f t="shared" si="8"/>
        <v>4547670.447860789</v>
      </c>
    </row>
    <row r="81" spans="1:12" ht="12.75">
      <c r="A81" s="1">
        <v>1.05E-06</v>
      </c>
      <c r="B81" s="1">
        <f>2*'12-Hypothèses'!$C$58/(A81^4)/(EXP('12-Hypothèses'!$C$59*'12-Hypothèses'!$C$58/'13-BilanPhotoniqueEtoile'!A81/'12-Hypothèses'!$C$60/'12-Hypothèses'!$C$5)-1)</f>
        <v>1.6798866526089496E+32</v>
      </c>
      <c r="C81" s="1">
        <f>B81*'12-Hypothèses'!$C$59*'12-Hypothèses'!$C$58/'13-BilanPhotoniqueEtoile'!A81</f>
        <v>31780989348141.234</v>
      </c>
      <c r="E81" s="1">
        <f t="shared" si="6"/>
        <v>0</v>
      </c>
      <c r="F81" s="1">
        <f t="shared" si="7"/>
        <v>326559933.0815707</v>
      </c>
      <c r="G81" s="1">
        <v>0.86</v>
      </c>
      <c r="H81" s="1">
        <f>G81^(1/COS((90-'12-Hypothèses'!$C$30)*PI()/180))</f>
        <v>0.86</v>
      </c>
      <c r="I81" s="1">
        <f>'12-Hypothèses'!$C$42</f>
        <v>0.7201949999999999</v>
      </c>
      <c r="J81" s="1">
        <v>1</v>
      </c>
      <c r="K81" s="1">
        <f>('12-Hypothèses'!$C$50/2)+('12-Hypothèses'!$C$50/2)*IF(A81&lt;'12-Hypothèses'!$C$51,COS((A81-'12-Hypothèses'!$C$51)*PI()/(2*('12-Hypothèses'!$C$51-'12-Hypothèses'!$C$52))),IF(A81&lt;'12-Hypothèses'!$C$53,COS((A81-'12-Hypothèses'!$C$51)*PI()/(2*('12-Hypothèses'!$C$53-'12-Hypothèses'!$C$51))),COS((PI()/2+(A81-'12-Hypothèses'!$C$53)*PI()/(2*(0.0000011-'12-Hypothèses'!$C$53))))))</f>
        <v>0.015333378169919365</v>
      </c>
      <c r="L81" s="1">
        <f t="shared" si="8"/>
        <v>3101339.413539731</v>
      </c>
    </row>
    <row r="82" spans="1:12" ht="12.75">
      <c r="A82" s="1">
        <v>1.06E-06</v>
      </c>
      <c r="B82" s="1">
        <f>2*'12-Hypothèses'!$C$58/(A82^4)/(EXP('12-Hypothèses'!$C$59*'12-Hypothèses'!$C$58/'13-BilanPhotoniqueEtoile'!A82/'12-Hypothèses'!$C$60/'12-Hypothèses'!$C$5)-1)</f>
        <v>1.6457219081555414E+32</v>
      </c>
      <c r="C82" s="1">
        <f>B82*'12-Hypothèses'!$C$59*'12-Hypothèses'!$C$58/'13-BilanPhotoniqueEtoile'!A82</f>
        <v>30840919495045.33</v>
      </c>
      <c r="E82" s="1">
        <f t="shared" si="6"/>
        <v>0</v>
      </c>
      <c r="F82" s="1">
        <f t="shared" si="7"/>
        <v>319918510.7896995</v>
      </c>
      <c r="G82" s="1">
        <v>0.86</v>
      </c>
      <c r="H82" s="1">
        <f>G82^(1/COS((90-'12-Hypothèses'!$C$30)*PI()/180))</f>
        <v>0.86</v>
      </c>
      <c r="I82" s="1">
        <f>'12-Hypothèses'!$C$42</f>
        <v>0.7201949999999999</v>
      </c>
      <c r="J82" s="1">
        <v>1</v>
      </c>
      <c r="K82" s="1">
        <f>('12-Hypothèses'!$C$50/2)+('12-Hypothèses'!$C$50/2)*IF(A82&lt;'12-Hypothèses'!$C$51,COS((A82-'12-Hypothèses'!$C$51)*PI()/(2*('12-Hypothèses'!$C$51-'12-Hypothèses'!$C$52))),IF(A82&lt;'12-Hypothèses'!$C$53,COS((A82-'12-Hypothèses'!$C$51)*PI()/(2*('12-Hypothèses'!$C$53-'12-Hypothèses'!$C$51))),COS((PI()/2+(A82-'12-Hypothèses'!$C$53)*PI()/(2*(0.0000011-'12-Hypothèses'!$C$53))))))</f>
        <v>0.009833579669787484</v>
      </c>
      <c r="L82" s="1">
        <f t="shared" si="8"/>
        <v>1948496.20099327</v>
      </c>
    </row>
    <row r="83" spans="1:12" ht="12.75">
      <c r="A83" s="1">
        <v>1.07E-06</v>
      </c>
      <c r="B83" s="1">
        <f>2*'12-Hypothèses'!$C$58/(A83^4)/(EXP('12-Hypothèses'!$C$59*'12-Hypothèses'!$C$58/'13-BilanPhotoniqueEtoile'!A83/'12-Hypothèses'!$C$60/'12-Hypothèses'!$C$5)-1)</f>
        <v>1.6124247940575362E+32</v>
      </c>
      <c r="C83" s="1">
        <f>B83*'12-Hypothèses'!$C$59*'12-Hypothèses'!$C$58/'13-BilanPhotoniqueEtoile'!A83</f>
        <v>29934528524484.18</v>
      </c>
      <c r="E83" s="1">
        <f t="shared" si="6"/>
        <v>0</v>
      </c>
      <c r="F83" s="1">
        <f t="shared" si="7"/>
        <v>313445750.65748054</v>
      </c>
      <c r="G83" s="1">
        <v>0.86</v>
      </c>
      <c r="H83" s="1">
        <f>G83^(1/COS((90-'12-Hypothèses'!$C$30)*PI()/180))</f>
        <v>0.86</v>
      </c>
      <c r="I83" s="1">
        <f>'12-Hypothèses'!$C$42</f>
        <v>0.7201949999999999</v>
      </c>
      <c r="J83" s="1">
        <v>1</v>
      </c>
      <c r="K83" s="1">
        <f>('12-Hypothèses'!$C$50/2)+('12-Hypothèses'!$C$50/2)*IF(A83&lt;'12-Hypothèses'!$C$51,COS((A83-'12-Hypothèses'!$C$51)*PI()/(2*('12-Hypothèses'!$C$51-'12-Hypothèses'!$C$52))),IF(A83&lt;'12-Hypothèses'!$C$53,COS((A83-'12-Hypothèses'!$C$51)*PI()/(2*('12-Hypothèses'!$C$53-'12-Hypothèses'!$C$51))),COS((PI()/2+(A83-'12-Hypothèses'!$C$53)*PI()/(2*(0.0000011-'12-Hypothèses'!$C$53))))))</f>
        <v>0.005540246732188114</v>
      </c>
      <c r="L83" s="1">
        <f t="shared" si="8"/>
        <v>1075573.382209998</v>
      </c>
    </row>
    <row r="84" spans="1:12" ht="12.75">
      <c r="A84" s="1">
        <v>1.08E-06</v>
      </c>
      <c r="B84" s="1">
        <f>2*'12-Hypothèses'!$C$58/(A84^4)/(EXP('12-Hypothèses'!$C$59*'12-Hypothèses'!$C$58/'13-BilanPhotoniqueEtoile'!A84/'12-Hypothèses'!$C$60/'12-Hypothèses'!$C$5)-1)</f>
        <v>1.5799703639075977E+32</v>
      </c>
      <c r="C84" s="1">
        <f>B84*'12-Hypothèses'!$C$59*'12-Hypothèses'!$C$58/'13-BilanPhotoniqueEtoile'!A84</f>
        <v>29060422072243.82</v>
      </c>
      <c r="E84" s="1">
        <f t="shared" si="6"/>
        <v>0</v>
      </c>
      <c r="F84" s="1">
        <f t="shared" si="7"/>
        <v>307136803.25230604</v>
      </c>
      <c r="G84" s="1">
        <v>0.86</v>
      </c>
      <c r="H84" s="1">
        <f>G84^(1/COS((90-'12-Hypothèses'!$C$30)*PI()/180))</f>
        <v>0.86</v>
      </c>
      <c r="I84" s="1">
        <f>'12-Hypothèses'!$C$42</f>
        <v>0.7201949999999999</v>
      </c>
      <c r="J84" s="1">
        <v>1</v>
      </c>
      <c r="K84" s="1">
        <f>('12-Hypothèses'!$C$50/2)+('12-Hypothèses'!$C$50/2)*IF(A84&lt;'12-Hypothèses'!$C$51,COS((A84-'12-Hypothèses'!$C$51)*PI()/(2*('12-Hypothèses'!$C$51-'12-Hypothèses'!$C$52))),IF(A84&lt;'12-Hypothèses'!$C$53,COS((A84-'12-Hypothèses'!$C$51)*PI()/(2*('12-Hypothèses'!$C$53-'12-Hypothèses'!$C$51))),COS((PI()/2+(A84-'12-Hypothèses'!$C$53)*PI()/(2*(0.0000011-'12-Hypothèses'!$C$53))))))</f>
        <v>0.0024651470842770307</v>
      </c>
      <c r="L84" s="1">
        <f t="shared" si="8"/>
        <v>468946.4469323201</v>
      </c>
    </row>
    <row r="85" spans="1:12" ht="12.75">
      <c r="A85" s="1">
        <v>1.09E-06</v>
      </c>
      <c r="B85" s="1">
        <f>2*'12-Hypothèses'!$C$58/(A85^4)/(EXP('12-Hypothèses'!$C$59*'12-Hypothèses'!$C$58/'13-BilanPhotoniqueEtoile'!A85/'12-Hypothèses'!$C$60/'12-Hypothèses'!$C$5)-1)</f>
        <v>1.5483343879715638E+32</v>
      </c>
      <c r="C85" s="1">
        <f>B85*'12-Hypothèses'!$C$59*'12-Hypothèses'!$C$58/'13-BilanPhotoniqueEtoile'!A85</f>
        <v>28217270004287.48</v>
      </c>
      <c r="E85" s="1">
        <f t="shared" si="6"/>
        <v>0</v>
      </c>
      <c r="F85" s="1">
        <f t="shared" si="7"/>
        <v>300986958.4585536</v>
      </c>
      <c r="G85" s="1">
        <v>0.8</v>
      </c>
      <c r="H85" s="1">
        <f>G85^(1/COS((90-'12-Hypothèses'!$C$30)*PI()/180))</f>
        <v>0.8</v>
      </c>
      <c r="I85" s="1">
        <f>'12-Hypothèses'!$C$42</f>
        <v>0.7201949999999999</v>
      </c>
      <c r="J85" s="1">
        <v>1</v>
      </c>
      <c r="K85" s="1">
        <f>('12-Hypothèses'!$C$50/2)+('12-Hypothèses'!$C$50/2)*IF(A85&lt;'12-Hypothèses'!$C$51,COS((A85-'12-Hypothèses'!$C$51)*PI()/(2*('12-Hypothèses'!$C$51-'12-Hypothèses'!$C$52))),IF(A85&lt;'12-Hypothèses'!$C$53,COS((A85-'12-Hypothèses'!$C$51)*PI()/(2*('12-Hypothèses'!$C$53-'12-Hypothèses'!$C$51))),COS((PI()/2+(A85-'12-Hypothèses'!$C$53)*PI()/(2*(0.0000011-'12-Hypothèses'!$C$53))))))</f>
        <v>0.0006167093604417806</v>
      </c>
      <c r="L85" s="1">
        <f t="shared" si="8"/>
        <v>106946.92634976559</v>
      </c>
    </row>
    <row r="86" spans="1:12" ht="12.75">
      <c r="A86" s="1">
        <v>1.1E-06</v>
      </c>
      <c r="B86" s="1">
        <f>2*'12-Hypothèses'!$C$58/(A86^4)/(EXP('12-Hypothèses'!$C$59*'12-Hypothèses'!$C$58/'13-BilanPhotoniqueEtoile'!A86/'12-Hypothèses'!$C$60/'12-Hypothèses'!$C$5)-1)</f>
        <v>1.517493339318072E+32</v>
      </c>
      <c r="C86" s="1">
        <f>B86*'12-Hypothèses'!$C$59*'12-Hypothèses'!$C$58/'13-BilanPhotoniqueEtoile'!A86</f>
        <v>27403803246722.52</v>
      </c>
      <c r="E86" s="1">
        <f t="shared" si="6"/>
        <v>0</v>
      </c>
      <c r="F86" s="1">
        <f t="shared" si="7"/>
        <v>294991642.7812677</v>
      </c>
      <c r="G86" s="1">
        <v>0.75</v>
      </c>
      <c r="H86" s="1">
        <f>G86^(1/COS((90-'12-Hypothèses'!$C$30)*PI()/180))</f>
        <v>0.75</v>
      </c>
      <c r="I86" s="1">
        <f>'12-Hypothèses'!$C$42</f>
        <v>0.7201949999999999</v>
      </c>
      <c r="J86" s="1">
        <v>1</v>
      </c>
      <c r="K86" s="1">
        <f>('12-Hypothèses'!$C$50/2)+('12-Hypothèses'!$C$50/2)*IF(A86&lt;'12-Hypothèses'!$C$51,COS((A86-'12-Hypothèses'!$C$51)*PI()/(2*('12-Hypothèses'!$C$51-'12-Hypothèses'!$C$52))),IF(A86&lt;'12-Hypothèses'!$C$53,COS((A86-'12-Hypothèses'!$C$51)*PI()/(2*('12-Hypothèses'!$C$53-'12-Hypothèses'!$C$51))),COS((PI()/2+(A86-'12-Hypothèses'!$C$53)*PI()/(2*(0.0000011-'12-Hypothèses'!$C$53))))))</f>
        <v>0</v>
      </c>
      <c r="L86" s="1">
        <f t="shared" si="8"/>
        <v>0</v>
      </c>
    </row>
    <row r="87" spans="4:12" ht="12.75">
      <c r="D87" s="28">
        <f>SUMPRODUCT(D3:D76,C3:C76)*0.00000001</f>
        <v>19414925.72763233</v>
      </c>
      <c r="E87" s="28">
        <f>SUM(E3:E76)*0.00000001</f>
        <v>13066245014.696562</v>
      </c>
      <c r="F87" t="s">
        <v>430</v>
      </c>
      <c r="H87" s="1"/>
      <c r="L87" s="28">
        <f>SUM(L3:L86)*0.00000001</f>
        <v>146.09115132899035</v>
      </c>
    </row>
    <row r="88" spans="3:12" ht="12.75">
      <c r="C88" t="s">
        <v>431</v>
      </c>
      <c r="D88">
        <v>892.0776629</v>
      </c>
      <c r="E88" t="s">
        <v>432</v>
      </c>
      <c r="L88" t="s">
        <v>433</v>
      </c>
    </row>
    <row r="89" spans="4:5" ht="12.75">
      <c r="D89" t="s">
        <v>188</v>
      </c>
      <c r="E89" s="28">
        <f>E87/600000</f>
        <v>21777.07502449427</v>
      </c>
    </row>
    <row r="90" spans="3:6" ht="12.75">
      <c r="C90" t="s">
        <v>434</v>
      </c>
      <c r="E90" s="28">
        <f>'12-Hypothèses'!C7/E87</f>
        <v>1.9439402805802788E-24</v>
      </c>
      <c r="F90" t="s">
        <v>160</v>
      </c>
    </row>
    <row r="91" spans="3:6" ht="12.75">
      <c r="C91" t="s">
        <v>435</v>
      </c>
      <c r="E91">
        <f>SQRT(E90*4/PI())</f>
        <v>1.5732455745491161E-12</v>
      </c>
      <c r="F91" t="s">
        <v>113</v>
      </c>
    </row>
  </sheetData>
  <sheetProtection/>
  <printOptions/>
  <pageMargins left="0.7868055555555555" right="0.7868055555555555" top="0.9840277777777777" bottom="0.9840277777777777" header="0.49166666666666664" footer="0.49166666666666664"/>
  <pageSetup horizontalDpi="30066" verticalDpi="30066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111" sqref="I111"/>
    </sheetView>
  </sheetViews>
  <sheetFormatPr defaultColWidth="11.00390625" defaultRowHeight="12.75"/>
  <cols>
    <col min="1" max="3" width="11.00390625" style="0" customWidth="1"/>
    <col min="4" max="4" width="12.421875" style="0" bestFit="1" customWidth="1"/>
    <col min="5" max="10" width="12.421875" style="0" customWidth="1"/>
  </cols>
  <sheetData>
    <row r="1" spans="1:12" s="2" customFormat="1" ht="12.75">
      <c r="A1" s="2" t="s">
        <v>181</v>
      </c>
      <c r="B1" s="2" t="s">
        <v>416</v>
      </c>
      <c r="C1" s="2" t="s">
        <v>417</v>
      </c>
      <c r="D1" s="2" t="s">
        <v>183</v>
      </c>
      <c r="E1" s="2" t="s">
        <v>418</v>
      </c>
      <c r="F1" s="2" t="s">
        <v>436</v>
      </c>
      <c r="G1" s="2" t="s">
        <v>420</v>
      </c>
      <c r="H1" s="2" t="s">
        <v>421</v>
      </c>
      <c r="I1" s="2" t="s">
        <v>437</v>
      </c>
      <c r="J1" s="2" t="s">
        <v>438</v>
      </c>
      <c r="K1" s="2" t="s">
        <v>424</v>
      </c>
      <c r="L1" s="2" t="s">
        <v>439</v>
      </c>
    </row>
    <row r="2" spans="1:5" ht="12.75">
      <c r="A2" t="s">
        <v>120</v>
      </c>
      <c r="B2" t="s">
        <v>426</v>
      </c>
      <c r="C2" t="s">
        <v>427</v>
      </c>
      <c r="E2" t="s">
        <v>428</v>
      </c>
    </row>
    <row r="3" spans="1:12" ht="12.75">
      <c r="A3" s="1">
        <v>2.7E-07</v>
      </c>
      <c r="B3" s="1">
        <f>2*'12-Hypothèses'!$C$58/(A3^4)/(EXP('12-Hypothèses'!$C$59*'12-Hypothèses'!$C$58/A3/'12-Hypothèses'!$C$60/'12-Hypothèses'!$C$9)-1)</f>
        <v>1.118179722436899E+31</v>
      </c>
      <c r="C3" s="1">
        <f>B3*'12-Hypothèses'!$C$59*'12-Hypothèses'!$C$58/'13-BilanPhotoniqueEtoile'!A3</f>
        <v>8226679545121.172</v>
      </c>
      <c r="E3" s="1">
        <f aca="true" t="shared" si="0" ref="E3:E34">C3*D3*673</f>
        <v>0</v>
      </c>
      <c r="F3" s="1">
        <f aca="true" t="shared" si="1" ref="F3:F34">B3*$E$93</f>
        <v>108190229.5786224</v>
      </c>
      <c r="G3" s="1">
        <v>0</v>
      </c>
      <c r="H3" s="1">
        <f>G3^(1/COS((90-'12-Hypothèses'!$C$30)*PI()/180))</f>
        <v>0</v>
      </c>
      <c r="I3" s="1">
        <f>'12-Hypothèses'!$C$42</f>
        <v>0.7201949999999999</v>
      </c>
      <c r="J3" s="1">
        <v>1</v>
      </c>
      <c r="K3" s="1">
        <f>('12-Hypothèses'!$C$50/2)+('12-Hypothèses'!$C$50/2)*IF(A3&lt;'12-Hypothèses'!$C$51,COS((A3-'12-Hypothèses'!$C$51)*PI()/(2*('12-Hypothèses'!$C$51-'12-Hypothèses'!$C$52))),IF(A3&lt;'12-Hypothèses'!$C$53,COS((A3-'12-Hypothèses'!$C$51)*PI()/(2*('12-Hypothèses'!$C$53-'12-Hypothèses'!$C$51))),COS((PI()/2+(A3-'12-Hypothèses'!$C$53)*PI()/(2*(0.0000011-'12-Hypothèses'!$C$53))))))</f>
        <v>0.011282439518179366</v>
      </c>
      <c r="L3" s="1">
        <f aca="true" t="shared" si="2" ref="L3:L34">F3*H3*I3*J3*K3</f>
        <v>0</v>
      </c>
    </row>
    <row r="4" spans="1:12" ht="12.75">
      <c r="A4" s="1">
        <v>2.8E-07</v>
      </c>
      <c r="B4" s="1">
        <f>2*'12-Hypothèses'!$C$58/(A4^4)/(EXP('12-Hypothèses'!$C$59*'12-Hypothèses'!$C$58/A4/'12-Hypothèses'!$C$60/'12-Hypothèses'!$C$9)-1)</f>
        <v>1.3438435882705939E+31</v>
      </c>
      <c r="C4" s="1">
        <f>B4*'12-Hypothèses'!$C$59*'12-Hypothèses'!$C$58/'13-BilanPhotoniqueEtoile'!A4</f>
        <v>9533830459200.969</v>
      </c>
      <c r="E4" s="1">
        <f t="shared" si="0"/>
        <v>0</v>
      </c>
      <c r="F4" s="1">
        <f t="shared" si="1"/>
        <v>130024488.38537219</v>
      </c>
      <c r="G4" s="1">
        <v>0</v>
      </c>
      <c r="H4" s="1">
        <f>G4^(1/COS((90-'12-Hypothèses'!$C$30)*PI()/180))</f>
        <v>0</v>
      </c>
      <c r="I4" s="1">
        <f>'12-Hypothèses'!$C$42</f>
        <v>0.7201949999999999</v>
      </c>
      <c r="J4" s="1">
        <v>1</v>
      </c>
      <c r="K4" s="1">
        <f>('12-Hypothèses'!$C$50/2)+('12-Hypothèses'!$C$50/2)*IF(A4&lt;'12-Hypothèses'!$C$51,COS((A4-'12-Hypothèses'!$C$51)*PI()/(2*('12-Hypothèses'!$C$51-'12-Hypothèses'!$C$52))),IF(A4&lt;'12-Hypothèses'!$C$53,COS((A4-'12-Hypothèses'!$C$51)*PI()/(2*('12-Hypothèses'!$C$53-'12-Hypothèses'!$C$51))),COS((PI()/2+(A4-'12-Hypothèses'!$C$53)*PI()/(2*(0.0000011-'12-Hypothèses'!$C$53))))))</f>
        <v>0.02525250136123458</v>
      </c>
      <c r="L4" s="1">
        <f t="shared" si="2"/>
        <v>0</v>
      </c>
    </row>
    <row r="5" spans="1:12" ht="12.75">
      <c r="A5" s="1">
        <v>2.9E-07</v>
      </c>
      <c r="B5" s="1">
        <f>2*'12-Hypothèses'!$C$58/(A5^4)/(EXP('12-Hypothèses'!$C$59*'12-Hypothèses'!$C$58/A5/'12-Hypothèses'!$C$60/'12-Hypothèses'!$C$9)-1)</f>
        <v>1.5868863589597162E+31</v>
      </c>
      <c r="C5" s="1">
        <f>B5*'12-Hypothèses'!$C$59*'12-Hypothèses'!$C$58/'13-BilanPhotoniqueEtoile'!A5</f>
        <v>10869875288005.78</v>
      </c>
      <c r="E5" s="1">
        <f t="shared" si="0"/>
        <v>0</v>
      </c>
      <c r="F5" s="1">
        <f t="shared" si="1"/>
        <v>153540254.79631647</v>
      </c>
      <c r="G5" s="1">
        <v>0</v>
      </c>
      <c r="H5" s="1">
        <f>G5^(1/COS((90-'12-Hypothèses'!$C$30)*PI()/180))</f>
        <v>0</v>
      </c>
      <c r="I5" s="1">
        <f>'12-Hypothèses'!$C$42</f>
        <v>0.7201949999999999</v>
      </c>
      <c r="J5" s="1">
        <v>1</v>
      </c>
      <c r="K5" s="1">
        <f>('12-Hypothèses'!$C$50/2)+('12-Hypothèses'!$C$50/2)*IF(A5&lt;'12-Hypothèses'!$C$51,COS((A5-'12-Hypothèses'!$C$51)*PI()/(2*('12-Hypothèses'!$C$51-'12-Hypothèses'!$C$52))),IF(A5&lt;'12-Hypothèses'!$C$53,COS((A5-'12-Hypothèses'!$C$51)*PI()/(2*('12-Hypothèses'!$C$53-'12-Hypothèses'!$C$51))),COS((PI()/2+(A5-'12-Hypothèses'!$C$53)*PI()/(2*(0.0000011-'12-Hypothèses'!$C$53))))))</f>
        <v>0.04456400944391131</v>
      </c>
      <c r="L5" s="1">
        <f t="shared" si="2"/>
        <v>0</v>
      </c>
    </row>
    <row r="6" spans="1:12" ht="12.75">
      <c r="A6" s="1">
        <v>3E-07</v>
      </c>
      <c r="B6" s="1">
        <f>2*'12-Hypothèses'!$C$58/(A6^4)/(EXP('12-Hypothèses'!$C$59*'12-Hypothèses'!$C$58/A6/'12-Hypothèses'!$C$60/'12-Hypothèses'!$C$9)-1)</f>
        <v>1.8447585657790705E+31</v>
      </c>
      <c r="C6" s="1">
        <f>B6*'12-Hypothèses'!$C$59*'12-Hypothèses'!$C$58/'13-BilanPhotoniqueEtoile'!A6</f>
        <v>12215043368106.113</v>
      </c>
      <c r="E6" s="1">
        <f t="shared" si="0"/>
        <v>0</v>
      </c>
      <c r="F6" s="1">
        <f t="shared" si="1"/>
        <v>178490853.25371817</v>
      </c>
      <c r="G6" s="1">
        <v>0</v>
      </c>
      <c r="H6" s="1">
        <f>G6^(1/COS((90-'12-Hypothèses'!$C$30)*PI()/180))</f>
        <v>0</v>
      </c>
      <c r="I6" s="1">
        <f>'12-Hypothèses'!$C$42</f>
        <v>0.7201949999999999</v>
      </c>
      <c r="J6" s="1">
        <v>1</v>
      </c>
      <c r="K6" s="1">
        <f>('12-Hypothèses'!$C$50/2)+('12-Hypothèses'!$C$50/2)*IF(A6&lt;'12-Hypothèses'!$C$51,COS((A6-'12-Hypothèses'!$C$51)*PI()/(2*('12-Hypothèses'!$C$51-'12-Hypothèses'!$C$52))),IF(A6&lt;'12-Hypothèses'!$C$53,COS((A6-'12-Hypothèses'!$C$51)*PI()/(2*('12-Hypothèses'!$C$53-'12-Hypothèses'!$C$51))),COS((PI()/2+(A6-'12-Hypothèses'!$C$53)*PI()/(2*(0.0000011-'12-Hypothèses'!$C$53))))))</f>
        <v>0.06897411034727202</v>
      </c>
      <c r="L6" s="1">
        <f t="shared" si="2"/>
        <v>0</v>
      </c>
    </row>
    <row r="7" spans="1:12" ht="12.75">
      <c r="A7" s="1">
        <v>3.1E-07</v>
      </c>
      <c r="B7" s="1">
        <f>2*'12-Hypothèses'!$C$58/(A7^4)/(EXP('12-Hypothèses'!$C$59*'12-Hypothèses'!$C$58/A7/'12-Hypothèses'!$C$60/'12-Hypothèses'!$C$9)-1)</f>
        <v>2.1147256899669966E+31</v>
      </c>
      <c r="C7" s="1">
        <f>B7*'12-Hypothèses'!$C$59*'12-Hypothèses'!$C$58/'13-BilanPhotoniqueEtoile'!A7</f>
        <v>13550929309165.646</v>
      </c>
      <c r="E7" s="1">
        <f t="shared" si="0"/>
        <v>0</v>
      </c>
      <c r="F7" s="1">
        <f t="shared" si="1"/>
        <v>204611703.55935445</v>
      </c>
      <c r="G7" s="1">
        <v>0.08</v>
      </c>
      <c r="H7" s="1">
        <f>G7^(1/COS((90-'12-Hypothèses'!$C$30)*PI()/180))</f>
        <v>0.08</v>
      </c>
      <c r="I7" s="1">
        <f>'12-Hypothèses'!$C$42</f>
        <v>0.7201949999999999</v>
      </c>
      <c r="J7" s="1">
        <v>1</v>
      </c>
      <c r="K7" s="1">
        <f>('12-Hypothèses'!$C$50/2)+('12-Hypothèses'!$C$50/2)*IF(A7&lt;'12-Hypothèses'!$C$51,COS((A7-'12-Hypothèses'!$C$51)*PI()/(2*('12-Hypothèses'!$C$51-'12-Hypothèses'!$C$52))),IF(A7&lt;'12-Hypothèses'!$C$53,COS((A7-'12-Hypothèses'!$C$51)*PI()/(2*('12-Hypothèses'!$C$53-'12-Hypothèses'!$C$51))),COS((PI()/2+(A7-'12-Hypothèses'!$C$53)*PI()/(2*(0.0000011-'12-Hypothèses'!$C$53))))))</f>
        <v>0.09817583288938647</v>
      </c>
      <c r="L7" s="1">
        <f t="shared" si="2"/>
        <v>1157377.817974185</v>
      </c>
    </row>
    <row r="8" spans="1:12" ht="12.75">
      <c r="A8" s="1">
        <v>3.2E-07</v>
      </c>
      <c r="B8" s="1">
        <f>2*'12-Hypothèses'!$C$58/(A8^4)/(EXP('12-Hypothèses'!$C$59*'12-Hypothèses'!$C$58/A8/'12-Hypothèses'!$C$60/'12-Hypothèses'!$C$9)-1)</f>
        <v>2.393972218974195E+31</v>
      </c>
      <c r="C8" s="1">
        <f>B8*'12-Hypothèses'!$C$59*'12-Hypothèses'!$C$58/'13-BilanPhotoniqueEtoile'!A8</f>
        <v>14860925614096.62</v>
      </c>
      <c r="E8" s="1">
        <f t="shared" si="0"/>
        <v>0</v>
      </c>
      <c r="F8" s="1">
        <f t="shared" si="1"/>
        <v>231630388.90671566</v>
      </c>
      <c r="G8" s="1">
        <v>0.16</v>
      </c>
      <c r="H8" s="1">
        <f>G8^(1/COS((90-'12-Hypothèses'!$C$30)*PI()/180))</f>
        <v>0.16</v>
      </c>
      <c r="I8" s="1">
        <f>'12-Hypothèses'!$C$42</f>
        <v>0.7201949999999999</v>
      </c>
      <c r="J8" s="1">
        <v>1</v>
      </c>
      <c r="K8" s="1">
        <f>('12-Hypothèses'!$C$50/2)+('12-Hypothèses'!$C$50/2)*IF(A8&lt;'12-Hypothèses'!$C$51,COS((A8-'12-Hypothèses'!$C$51)*PI()/(2*('12-Hypothèses'!$C$51-'12-Hypothèses'!$C$52))),IF(A8&lt;'12-Hypothèses'!$C$53,COS((A8-'12-Hypothèses'!$C$51)*PI()/(2*('12-Hypothèses'!$C$53-'12-Hypothèses'!$C$51))),COS((PI()/2+(A8-'12-Hypothèses'!$C$53)*PI()/(2*(0.0000011-'12-Hypothèses'!$C$53))))))</f>
        <v>0.13180194846605348</v>
      </c>
      <c r="L8" s="1">
        <f t="shared" si="2"/>
        <v>3517932.0895310338</v>
      </c>
    </row>
    <row r="9" spans="1:12" ht="12.75">
      <c r="A9" s="1">
        <v>3.3E-07</v>
      </c>
      <c r="B9" s="1">
        <f>2*'12-Hypothèses'!$C$58/(A9^4)/(EXP('12-Hypothèses'!$C$59*'12-Hypothèses'!$C$58/A9/'12-Hypothèses'!$C$60/'12-Hypothèses'!$C$9)-1)</f>
        <v>2.679691084406723E+31</v>
      </c>
      <c r="C9" s="1">
        <f>B9*'12-Hypothèses'!$C$59*'12-Hypothèses'!$C$58/'13-BilanPhotoniqueEtoile'!A9</f>
        <v>16130488645632.287</v>
      </c>
      <c r="E9" s="1">
        <f t="shared" si="0"/>
        <v>0</v>
      </c>
      <c r="F9" s="1">
        <f t="shared" si="1"/>
        <v>259275309.5092113</v>
      </c>
      <c r="G9" s="1">
        <v>0.24</v>
      </c>
      <c r="H9" s="1">
        <f>G9^(1/COS((90-'12-Hypothèses'!$C$30)*PI()/180))</f>
        <v>0.24</v>
      </c>
      <c r="I9" s="1">
        <f>'12-Hypothèses'!$C$42</f>
        <v>0.7201949999999999</v>
      </c>
      <c r="J9" s="1">
        <v>1</v>
      </c>
      <c r="K9" s="1">
        <f>('12-Hypothèses'!$C$50/2)+('12-Hypothèses'!$C$50/2)*IF(A9&lt;'12-Hypothèses'!$C$51,COS((A9-'12-Hypothèses'!$C$51)*PI()/(2*('12-Hypothèses'!$C$51-'12-Hypothèses'!$C$52))),IF(A9&lt;'12-Hypothèses'!$C$53,COS((A9-'12-Hypothèses'!$C$51)*PI()/(2*('12-Hypothèses'!$C$53-'12-Hypothèses'!$C$51))),COS((PI()/2+(A9-'12-Hypothèses'!$C$53)*PI()/(2*(0.0000011-'12-Hypothèses'!$C$53))))))</f>
        <v>0.16942958916356976</v>
      </c>
      <c r="L9" s="1">
        <f t="shared" si="2"/>
        <v>7592971.377594823</v>
      </c>
    </row>
    <row r="10" spans="1:12" ht="12.75">
      <c r="A10" s="1">
        <v>3.4E-07</v>
      </c>
      <c r="B10" s="1">
        <f>2*'12-Hypothèses'!$C$58/(A10^4)/(EXP('12-Hypothèses'!$C$59*'12-Hypothèses'!$C$58/A10/'12-Hypothèses'!$C$60/'12-Hypothèses'!$C$9)-1)</f>
        <v>2.969157178421036E+31</v>
      </c>
      <c r="C10" s="1">
        <f>B10*'12-Hypothèses'!$C$59*'12-Hypothèses'!$C$58/'13-BilanPhotoniqueEtoile'!A10</f>
        <v>17347264636171.969</v>
      </c>
      <c r="E10" s="1">
        <f t="shared" si="0"/>
        <v>0</v>
      </c>
      <c r="F10" s="1">
        <f t="shared" si="1"/>
        <v>287282795.7283177</v>
      </c>
      <c r="G10" s="1">
        <v>0.28</v>
      </c>
      <c r="H10" s="1">
        <f>G10^(1/COS((90-'12-Hypothèses'!$C$30)*PI()/180))</f>
        <v>0.28</v>
      </c>
      <c r="I10" s="1">
        <f>'12-Hypothèses'!$C$42</f>
        <v>0.7201949999999999</v>
      </c>
      <c r="J10" s="1">
        <v>1</v>
      </c>
      <c r="K10" s="1">
        <f>('12-Hypothèses'!$C$50/2)+('12-Hypothèses'!$C$50/2)*IF(A10&lt;'12-Hypothèses'!$C$51,COS((A10-'12-Hypothèses'!$C$51)*PI()/(2*('12-Hypothèses'!$C$51-'12-Hypothèses'!$C$52))),IF(A10&lt;'12-Hypothèses'!$C$53,COS((A10-'12-Hypothèses'!$C$51)*PI()/(2*('12-Hypothèses'!$C$53-'12-Hypothèses'!$C$51))),COS((PI()/2+(A10-'12-Hypothèses'!$C$53)*PI()/(2*(0.0000011-'12-Hypothèses'!$C$53))))))</f>
        <v>0.21058556556809824</v>
      </c>
      <c r="L10" s="1">
        <f t="shared" si="2"/>
        <v>12199621.348819632</v>
      </c>
    </row>
    <row r="11" spans="1:12" ht="12.75">
      <c r="A11" s="1">
        <v>3.5E-07</v>
      </c>
      <c r="B11" s="1">
        <f>2*'12-Hypothèses'!$C$58/(A11^4)/(EXP('12-Hypothèses'!$C$59*'12-Hypothèses'!$C$58/A11/'12-Hypothèses'!$C$60/'12-Hypothèses'!$C$9)-1)</f>
        <v>3.259784992787164E+31</v>
      </c>
      <c r="C11" s="1">
        <f>B11*'12-Hypothèses'!$C$59*'12-Hypothèses'!$C$58/'13-BilanPhotoniqueEtoile'!A11</f>
        <v>18501103983195.18</v>
      </c>
      <c r="E11" s="1">
        <f t="shared" si="0"/>
        <v>0</v>
      </c>
      <c r="F11" s="1">
        <f t="shared" si="1"/>
        <v>315402684.9798231</v>
      </c>
      <c r="G11" s="1">
        <v>0.32</v>
      </c>
      <c r="H11" s="1">
        <f>G11^(1/COS((90-'12-Hypothèses'!$C$30)*PI()/180))</f>
        <v>0.32</v>
      </c>
      <c r="I11" s="1">
        <f>'12-Hypothèses'!$C$42</f>
        <v>0.7201949999999999</v>
      </c>
      <c r="J11" s="1">
        <v>1</v>
      </c>
      <c r="K11" s="1">
        <f>('12-Hypothèses'!$C$50/2)+('12-Hypothèses'!$C$50/2)*IF(A11&lt;'12-Hypothèses'!$C$51,COS((A11-'12-Hypothèses'!$C$51)*PI()/(2*('12-Hypothèses'!$C$51-'12-Hypothèses'!$C$52))),IF(A11&lt;'12-Hypothèses'!$C$53,COS((A11-'12-Hypothèses'!$C$51)*PI()/(2*('12-Hypothèses'!$C$53-'12-Hypothèses'!$C$51))),COS((PI()/2+(A11-'12-Hypothèses'!$C$53)*PI()/(2*(0.0000011-'12-Hypothèses'!$C$53))))))</f>
        <v>0.2547523173970987</v>
      </c>
      <c r="L11" s="1">
        <f t="shared" si="2"/>
        <v>18517553.56854697</v>
      </c>
    </row>
    <row r="12" spans="1:12" ht="12.75">
      <c r="A12" s="1">
        <v>3.6E-07</v>
      </c>
      <c r="B12" s="1">
        <f>2*'12-Hypothèses'!$C$58/(A12^4)/(EXP('12-Hypothèses'!$C$59*'12-Hypothèses'!$C$58/A12/'12-Hypothèses'!$C$60/'12-Hypothèses'!$C$9)-1)</f>
        <v>3.5491713435259575E+31</v>
      </c>
      <c r="C12" s="1">
        <f>B12*'12-Hypothèses'!$C$59*'12-Hypothèses'!$C$58/'13-BilanPhotoniqueEtoile'!A12</f>
        <v>19583990865718.99</v>
      </c>
      <c r="E12" s="1">
        <f t="shared" si="0"/>
        <v>0</v>
      </c>
      <c r="F12" s="1">
        <f t="shared" si="1"/>
        <v>343402455.584782</v>
      </c>
      <c r="G12" s="1">
        <v>0.35</v>
      </c>
      <c r="H12" s="1">
        <f>G12^(1/COS((90-'12-Hypothèses'!$C$30)*PI()/180))</f>
        <v>0.35</v>
      </c>
      <c r="I12" s="1">
        <f>'12-Hypothèses'!$C$42</f>
        <v>0.7201949999999999</v>
      </c>
      <c r="J12" s="1">
        <v>1</v>
      </c>
      <c r="K12" s="1">
        <f>('12-Hypothèses'!$C$50/2)+('12-Hypothèses'!$C$50/2)*IF(A12&lt;'12-Hypothèses'!$C$51,COS((A12-'12-Hypothèses'!$C$51)*PI()/(2*('12-Hypothèses'!$C$51-'12-Hypothèses'!$C$52))),IF(A12&lt;'12-Hypothèses'!$C$53,COS((A12-'12-Hypothèses'!$C$51)*PI()/(2*('12-Hypothèses'!$C$53-'12-Hypothèses'!$C$51))),COS((PI()/2+(A12-'12-Hypothèses'!$C$53)*PI()/(2*(0.0000011-'12-Hypothèses'!$C$53))))))</f>
        <v>0.30137442212017473</v>
      </c>
      <c r="L12" s="1">
        <f t="shared" si="2"/>
        <v>26087227.962749578</v>
      </c>
    </row>
    <row r="13" spans="1:12" ht="12.75">
      <c r="A13" s="1">
        <v>3.7E-07</v>
      </c>
      <c r="B13" s="1">
        <f>2*'12-Hypothèses'!$C$58/(A13^4)/(EXP('12-Hypothèses'!$C$59*'12-Hypothèses'!$C$58/A13/'12-Hypothèses'!$C$60/'12-Hypothèses'!$C$9)-1)</f>
        <v>3.8351247082896915E+31</v>
      </c>
      <c r="C13" s="1">
        <f>B13*'12-Hypothèses'!$C$59*'12-Hypothèses'!$C$58/'13-BilanPhotoniqueEtoile'!A13</f>
        <v>20589912401166.355</v>
      </c>
      <c r="E13" s="1">
        <f t="shared" si="0"/>
        <v>0</v>
      </c>
      <c r="F13" s="1">
        <f t="shared" si="1"/>
        <v>371070065.32746696</v>
      </c>
      <c r="G13" s="1">
        <v>0.37</v>
      </c>
      <c r="H13" s="1">
        <f>G13^(1/COS((90-'12-Hypothèses'!$C$30)*PI()/180))</f>
        <v>0.37</v>
      </c>
      <c r="I13" s="1">
        <f>'12-Hypothèses'!$C$42</f>
        <v>0.7201949999999999</v>
      </c>
      <c r="J13" s="1">
        <v>1</v>
      </c>
      <c r="K13" s="1">
        <f>('12-Hypothèses'!$C$50/2)+('12-Hypothèses'!$C$50/2)*IF(A13&lt;'12-Hypothèses'!$C$51,COS((A13-'12-Hypothèses'!$C$51)*PI()/(2*('12-Hypothèses'!$C$51-'12-Hypothèses'!$C$52))),IF(A13&lt;'12-Hypothèses'!$C$53,COS((A13-'12-Hypothèses'!$C$51)*PI()/(2*('12-Hypothèses'!$C$53-'12-Hypothèses'!$C$51))),COS((PI()/2+(A13-'12-Hypothèses'!$C$53)*PI()/(2*(0.0000011-'12-Hypothèses'!$C$53))))))</f>
        <v>0.3498655797196585</v>
      </c>
      <c r="L13" s="1">
        <f t="shared" si="2"/>
        <v>34594651.88239904</v>
      </c>
    </row>
    <row r="14" spans="1:12" ht="12.75">
      <c r="A14" s="1">
        <v>3.8E-07</v>
      </c>
      <c r="B14" s="1">
        <f>2*'12-Hypothèses'!$C$58/(A14^4)/(EXP('12-Hypothèses'!$C$59*'12-Hypothèses'!$C$58/A14/'12-Hypothèses'!$C$60/'12-Hypothèses'!$C$9)-1)</f>
        <v>4.115682992881495E+31</v>
      </c>
      <c r="C14" s="1">
        <f>B14*'12-Hypothèses'!$C$59*'12-Hypothèses'!$C$58/'13-BilanPhotoniqueEtoile'!A14</f>
        <v>21514687975125.656</v>
      </c>
      <c r="D14">
        <v>4E-05</v>
      </c>
      <c r="E14" s="1">
        <f t="shared" si="0"/>
        <v>579175400290.3827</v>
      </c>
      <c r="F14" s="1">
        <f t="shared" si="1"/>
        <v>398215670.4668811</v>
      </c>
      <c r="G14" s="1">
        <v>0.39</v>
      </c>
      <c r="H14" s="1">
        <f>G14^(1/COS((90-'12-Hypothèses'!$C$30)*PI()/180))</f>
        <v>0.39</v>
      </c>
      <c r="I14" s="1">
        <f>'12-Hypothèses'!$C$42</f>
        <v>0.7201949999999999</v>
      </c>
      <c r="J14" s="1">
        <v>1</v>
      </c>
      <c r="K14" s="1">
        <f>('12-Hypothèses'!$C$50/2)+('12-Hypothèses'!$C$50/2)*IF(A14&lt;'12-Hypothèses'!$C$51,COS((A14-'12-Hypothèses'!$C$51)*PI()/(2*('12-Hypothèses'!$C$51-'12-Hypothèses'!$C$52))),IF(A14&lt;'12-Hypothèses'!$C$53,COS((A14-'12-Hypothèses'!$C$51)*PI()/(2*('12-Hypothèses'!$C$53-'12-Hypothèses'!$C$51))),COS((PI()/2+(A14-'12-Hypothèses'!$C$53)*PI()/(2*(0.0000011-'12-Hypothèses'!$C$53))))))</f>
        <v>0.3996159857535114</v>
      </c>
      <c r="L14" s="1">
        <f t="shared" si="2"/>
        <v>44696746.12416226</v>
      </c>
    </row>
    <row r="15" spans="1:12" ht="12.75">
      <c r="A15" s="1">
        <v>3.9E-07</v>
      </c>
      <c r="B15" s="1">
        <f>2*'12-Hypothèses'!$C$58/(A15^4)/(EXP('12-Hypothèses'!$C$59*'12-Hypothèses'!$C$58/A15/'12-Hypothèses'!$C$60/'12-Hypothèses'!$C$9)-1)</f>
        <v>4.389121631224946E+31</v>
      </c>
      <c r="C15" s="1">
        <f>B15*'12-Hypothèses'!$C$59*'12-Hypothèses'!$C$58/'13-BilanPhotoniqueEtoile'!A15</f>
        <v>22355775591973.18</v>
      </c>
      <c r="D15">
        <v>0.00012</v>
      </c>
      <c r="E15" s="1">
        <f t="shared" si="0"/>
        <v>1805452436807.7542</v>
      </c>
      <c r="F15" s="1">
        <f t="shared" si="1"/>
        <v>424672409.45475274</v>
      </c>
      <c r="G15" s="1">
        <v>0.41</v>
      </c>
      <c r="H15" s="1">
        <f>G15^(1/COS((90-'12-Hypothèses'!$C$30)*PI()/180))</f>
        <v>0.41</v>
      </c>
      <c r="I15" s="1">
        <f>'12-Hypothèses'!$C$42</f>
        <v>0.7201949999999999</v>
      </c>
      <c r="J15" s="1">
        <v>1</v>
      </c>
      <c r="K15" s="1">
        <f>('12-Hypothèses'!$C$50/2)+('12-Hypothèses'!$C$50/2)*IF(A15&lt;'12-Hypothèses'!$C$51,COS((A15-'12-Hypothèses'!$C$51)*PI()/(2*('12-Hypothèses'!$C$51-'12-Hypothèses'!$C$52))),IF(A15&lt;'12-Hypothèses'!$C$53,COS((A15-'12-Hypothèses'!$C$51)*PI()/(2*('12-Hypothèses'!$C$53-'12-Hypothèses'!$C$51))),COS((PI()/2+(A15-'12-Hypothèses'!$C$53)*PI()/(2*(0.0000011-'12-Hypothèses'!$C$53))))))</f>
        <v>0.45</v>
      </c>
      <c r="L15" s="1">
        <f t="shared" si="2"/>
        <v>56428761.5235805</v>
      </c>
    </row>
    <row r="16" spans="1:12" ht="12.75">
      <c r="A16" s="1">
        <v>4E-07</v>
      </c>
      <c r="B16" s="1">
        <f>2*'12-Hypothèses'!$C$58/(A16^4)/(EXP('12-Hypothèses'!$C$59*'12-Hypothèses'!$C$58/A16/'12-Hypothèses'!$C$60/'12-Hypothèses'!$C$9)-1)</f>
        <v>4.653953872612443E+31</v>
      </c>
      <c r="C16" s="1">
        <f>B16*'12-Hypothèses'!$C$59*'12-Hypothèses'!$C$58/'13-BilanPhotoniqueEtoile'!A16</f>
        <v>23112068474033</v>
      </c>
      <c r="D16">
        <v>0.0004</v>
      </c>
      <c r="E16" s="1">
        <f t="shared" si="0"/>
        <v>6221768833209.685</v>
      </c>
      <c r="F16" s="1">
        <f t="shared" si="1"/>
        <v>450296430.72844505</v>
      </c>
      <c r="G16" s="1">
        <v>0.43</v>
      </c>
      <c r="H16" s="1">
        <f>G16^(1/COS((90-'12-Hypothèses'!$C$30)*PI()/180))</f>
        <v>0.43</v>
      </c>
      <c r="I16" s="1">
        <f>'12-Hypothèses'!$C$42</f>
        <v>0.7201949999999999</v>
      </c>
      <c r="J16" s="1">
        <v>1</v>
      </c>
      <c r="K16" s="1">
        <f>('12-Hypothèses'!$C$50/2)+('12-Hypothèses'!$C$50/2)*IF(A16&lt;'12-Hypothèses'!$C$51,COS((A16-'12-Hypothèses'!$C$51)*PI()/(2*('12-Hypothèses'!$C$51-'12-Hypothèses'!$C$52))),IF(A16&lt;'12-Hypothèses'!$C$53,COS((A16-'12-Hypothèses'!$C$51)*PI()/(2*('12-Hypothèses'!$C$53-'12-Hypothèses'!$C$51))),COS((PI()/2+(A16-'12-Hypothèses'!$C$53)*PI()/(2*(0.0000011-'12-Hypothèses'!$C$53))))))</f>
        <v>0.5003840142464884</v>
      </c>
      <c r="L16" s="1">
        <f t="shared" si="2"/>
        <v>69778316.76169446</v>
      </c>
    </row>
    <row r="17" spans="1:12" ht="12.75">
      <c r="A17" s="1">
        <v>4.1E-07</v>
      </c>
      <c r="B17" s="1">
        <f>2*'12-Hypothèses'!$C$58/(A17^4)/(EXP('12-Hypothèses'!$C$59*'12-Hypothèses'!$C$58/A17/'12-Hypothèses'!$C$60/'12-Hypothèses'!$C$9)-1)</f>
        <v>4.908924971662646E+31</v>
      </c>
      <c r="C17" s="1">
        <f>B17*'12-Hypothèses'!$C$59*'12-Hypothèses'!$C$58/'13-BilanPhotoniqueEtoile'!A17</f>
        <v>23783691885400.453</v>
      </c>
      <c r="D17">
        <v>0.0012</v>
      </c>
      <c r="E17" s="1">
        <f t="shared" si="0"/>
        <v>19207709566649.402</v>
      </c>
      <c r="F17" s="1">
        <f t="shared" si="1"/>
        <v>474966330.55638784</v>
      </c>
      <c r="G17" s="1">
        <v>0.45</v>
      </c>
      <c r="H17" s="1">
        <f>G17^(1/COS((90-'12-Hypothèses'!$C$30)*PI()/180))</f>
        <v>0.45</v>
      </c>
      <c r="I17" s="1">
        <f>'12-Hypothèses'!$C$42</f>
        <v>0.7201949999999999</v>
      </c>
      <c r="J17" s="1">
        <v>1</v>
      </c>
      <c r="K17" s="1">
        <f>('12-Hypothèses'!$C$50/2)+('12-Hypothèses'!$C$50/2)*IF(A17&lt;'12-Hypothèses'!$C$51,COS((A17-'12-Hypothèses'!$C$51)*PI()/(2*('12-Hypothèses'!$C$51-'12-Hypothèses'!$C$52))),IF(A17&lt;'12-Hypothèses'!$C$53,COS((A17-'12-Hypothèses'!$C$51)*PI()/(2*('12-Hypothèses'!$C$53-'12-Hypothèses'!$C$51))),COS((PI()/2+(A17-'12-Hypothèses'!$C$53)*PI()/(2*(0.0000011-'12-Hypothèses'!$C$53))))))</f>
        <v>0.5501344202803414</v>
      </c>
      <c r="L17" s="1">
        <f t="shared" si="2"/>
        <v>84682614.58485214</v>
      </c>
    </row>
    <row r="18" spans="1:12" ht="12.75">
      <c r="A18" s="1">
        <v>4.2E-07</v>
      </c>
      <c r="B18" s="1">
        <f>2*'12-Hypothèses'!$C$58/(A18^4)/(EXP('12-Hypothèses'!$C$59*'12-Hypothèses'!$C$58/A18/'12-Hypothèses'!$C$60/'12-Hypothèses'!$C$9)-1)</f>
        <v>5.153001808597993E+31</v>
      </c>
      <c r="C18" s="1">
        <f>B18*'12-Hypothèses'!$C$59*'12-Hypothèses'!$C$58/'13-BilanPhotoniqueEtoile'!A18</f>
        <v>24371807368024.812</v>
      </c>
      <c r="D18">
        <v>0.004</v>
      </c>
      <c r="E18" s="1">
        <f t="shared" si="0"/>
        <v>65608905434722.805</v>
      </c>
      <c r="F18" s="1">
        <f t="shared" si="1"/>
        <v>498582148.741062</v>
      </c>
      <c r="G18" s="1">
        <v>0.47</v>
      </c>
      <c r="H18" s="1">
        <f>G18^(1/COS((90-'12-Hypothèses'!$C$30)*PI()/180))</f>
        <v>0.47</v>
      </c>
      <c r="I18" s="1">
        <f>'12-Hypothèses'!$C$42</f>
        <v>0.7201949999999999</v>
      </c>
      <c r="J18" s="1">
        <v>1</v>
      </c>
      <c r="K18" s="1">
        <f>('12-Hypothèses'!$C$50/2)+('12-Hypothèses'!$C$50/2)*IF(A18&lt;'12-Hypothèses'!$C$51,COS((A18-'12-Hypothèses'!$C$51)*PI()/(2*('12-Hypothèses'!$C$51-'12-Hypothèses'!$C$52))),IF(A18&lt;'12-Hypothèses'!$C$53,COS((A18-'12-Hypothèses'!$C$51)*PI()/(2*('12-Hypothèses'!$C$53-'12-Hypothèses'!$C$51))),COS((PI()/2+(A18-'12-Hypothèses'!$C$53)*PI()/(2*(0.0000011-'12-Hypothèses'!$C$53))))))</f>
        <v>0.5986255778798251</v>
      </c>
      <c r="L18" s="1">
        <f t="shared" si="2"/>
        <v>101027580.93464151</v>
      </c>
    </row>
    <row r="19" spans="1:12" ht="12.75">
      <c r="A19" s="1">
        <v>4.3E-07</v>
      </c>
      <c r="B19" s="1">
        <f>2*'12-Hypothèses'!$C$58/(A19^4)/(EXP('12-Hypothèses'!$C$59*'12-Hypothèses'!$C$58/A19/'12-Hypothèses'!$C$60/'12-Hypothèses'!$C$9)-1)</f>
        <v>5.385359258188997E+31</v>
      </c>
      <c r="C19" s="1">
        <f>B19*'12-Hypothèses'!$C$59*'12-Hypothèses'!$C$58/'13-BilanPhotoniqueEtoile'!A19</f>
        <v>24878429273693.4</v>
      </c>
      <c r="D19">
        <v>0.0116</v>
      </c>
      <c r="E19" s="1">
        <f t="shared" si="0"/>
        <v>194220921653869.6</v>
      </c>
      <c r="F19" s="1">
        <f t="shared" si="1"/>
        <v>521064049.73705554</v>
      </c>
      <c r="G19" s="1">
        <v>0.49</v>
      </c>
      <c r="H19" s="1">
        <f>G19^(1/COS((90-'12-Hypothèses'!$C$30)*PI()/180))</f>
        <v>0.49</v>
      </c>
      <c r="I19" s="1">
        <f>'12-Hypothèses'!$C$42</f>
        <v>0.7201949999999999</v>
      </c>
      <c r="J19" s="1">
        <v>1</v>
      </c>
      <c r="K19" s="1">
        <f>('12-Hypothèses'!$C$50/2)+('12-Hypothèses'!$C$50/2)*IF(A19&lt;'12-Hypothèses'!$C$51,COS((A19-'12-Hypothèses'!$C$51)*PI()/(2*('12-Hypothèses'!$C$51-'12-Hypothèses'!$C$52))),IF(A19&lt;'12-Hypothèses'!$C$53,COS((A19-'12-Hypothèses'!$C$51)*PI()/(2*('12-Hypothèses'!$C$53-'12-Hypothèses'!$C$51))),COS((PI()/2+(A19-'12-Hypothèses'!$C$53)*PI()/(2*(0.0000011-'12-Hypothèses'!$C$53))))))</f>
        <v>0.6452476826029011</v>
      </c>
      <c r="L19" s="1">
        <f t="shared" si="2"/>
        <v>118648908.11946566</v>
      </c>
    </row>
    <row r="20" spans="1:12" ht="12.75">
      <c r="A20" s="1">
        <v>4.4E-07</v>
      </c>
      <c r="B20" s="1">
        <f>2*'12-Hypothèses'!$C$58/(A20^4)/(EXP('12-Hypothèses'!$C$59*'12-Hypothèses'!$C$58/A20/'12-Hypothèses'!$C$60/'12-Hypothèses'!$C$9)-1)</f>
        <v>5.605364414317179E+31</v>
      </c>
      <c r="C20" s="1">
        <f>B20*'12-Hypothèses'!$C$59*'12-Hypothèses'!$C$58/'13-BilanPhotoniqueEtoile'!A20</f>
        <v>25306256633250.887</v>
      </c>
      <c r="D20">
        <v>0.023</v>
      </c>
      <c r="E20" s="1">
        <f t="shared" si="0"/>
        <v>391715546426090.5</v>
      </c>
      <c r="F20" s="1">
        <f t="shared" si="1"/>
        <v>542350796.2880617</v>
      </c>
      <c r="G20" s="1">
        <v>0.51</v>
      </c>
      <c r="H20" s="1">
        <f>G20^(1/COS((90-'12-Hypothèses'!$C$30)*PI()/180))</f>
        <v>0.51</v>
      </c>
      <c r="I20" s="1">
        <f>'12-Hypothèses'!$C$42</f>
        <v>0.7201949999999999</v>
      </c>
      <c r="J20" s="1">
        <v>1</v>
      </c>
      <c r="K20" s="1">
        <f>('12-Hypothèses'!$C$50/2)+('12-Hypothèses'!$C$50/2)*IF(A20&lt;'12-Hypothèses'!$C$51,COS((A20-'12-Hypothèses'!$C$51)*PI()/(2*('12-Hypothèses'!$C$51-'12-Hypothèses'!$C$52))),IF(A20&lt;'12-Hypothèses'!$C$53,COS((A20-'12-Hypothèses'!$C$51)*PI()/(2*('12-Hypothèses'!$C$53-'12-Hypothèses'!$C$51))),COS((PI()/2+(A20-'12-Hypothèses'!$C$53)*PI()/(2*(0.0000011-'12-Hypothèses'!$C$53))))))</f>
        <v>0.6894144344319015</v>
      </c>
      <c r="L20" s="1">
        <f t="shared" si="2"/>
        <v>137334905.26038042</v>
      </c>
    </row>
    <row r="21" spans="1:12" ht="12.75">
      <c r="A21" s="1">
        <v>4.5E-07</v>
      </c>
      <c r="B21" s="1">
        <f>2*'12-Hypothèses'!$C$58/(A21^4)/(EXP('12-Hypothèses'!$C$59*'12-Hypothèses'!$C$58/A21/'12-Hypothèses'!$C$60/'12-Hypothèses'!$C$9)-1)</f>
        <v>5.812559576107555E+31</v>
      </c>
      <c r="C21" s="1">
        <f>B21*'12-Hypothèses'!$C$59*'12-Hypothèses'!$C$58/'13-BilanPhotoniqueEtoile'!A21</f>
        <v>25658521976422.637</v>
      </c>
      <c r="D21">
        <v>0.038</v>
      </c>
      <c r="E21" s="1">
        <f t="shared" si="0"/>
        <v>656191041025032.5</v>
      </c>
      <c r="F21" s="1">
        <f t="shared" si="1"/>
        <v>562398103.2387075</v>
      </c>
      <c r="G21" s="1">
        <v>0.525</v>
      </c>
      <c r="H21" s="1">
        <f>G21^(1/COS((90-'12-Hypothèses'!$C$30)*PI()/180))</f>
        <v>0.525</v>
      </c>
      <c r="I21" s="1">
        <f>'12-Hypothèses'!$C$42</f>
        <v>0.7201949999999999</v>
      </c>
      <c r="J21" s="1">
        <v>1</v>
      </c>
      <c r="K21" s="1">
        <f>('12-Hypothèses'!$C$50/2)+('12-Hypothèses'!$C$50/2)*IF(A21&lt;'12-Hypothèses'!$C$51,COS((A21-'12-Hypothèses'!$C$51)*PI()/(2*('12-Hypothèses'!$C$51-'12-Hypothèses'!$C$52))),IF(A21&lt;'12-Hypothèses'!$C$53,COS((A21-'12-Hypothèses'!$C$51)*PI()/(2*('12-Hypothèses'!$C$53-'12-Hypothèses'!$C$51))),COS((PI()/2+(A21-'12-Hypothèses'!$C$53)*PI()/(2*(0.0000011-'12-Hypothèses'!$C$53))))))</f>
        <v>0.7305704108364299</v>
      </c>
      <c r="L21" s="1">
        <f t="shared" si="2"/>
        <v>155351457.20222485</v>
      </c>
    </row>
    <row r="22" spans="1:12" ht="12.75">
      <c r="A22" s="1">
        <v>4.6E-07</v>
      </c>
      <c r="B22" s="1">
        <f>2*'12-Hypothèses'!$C$58/(A22^4)/(EXP('12-Hypothèses'!$C$59*'12-Hypothèses'!$C$58/A22/'12-Hypothèses'!$C$60/'12-Hypothèses'!$C$9)-1)</f>
        <v>6.00664471839053E+31</v>
      </c>
      <c r="C22" s="1">
        <f>B22*'12-Hypothèses'!$C$59*'12-Hypothèses'!$C$58/'13-BilanPhotoniqueEtoile'!A22</f>
        <v>25938857643939.918</v>
      </c>
      <c r="D22">
        <v>0.06</v>
      </c>
      <c r="E22" s="1">
        <f t="shared" si="0"/>
        <v>1047411071662293.9</v>
      </c>
      <c r="F22" s="1">
        <f t="shared" si="1"/>
        <v>581176941.452329</v>
      </c>
      <c r="G22" s="1">
        <v>0.54</v>
      </c>
      <c r="H22" s="1">
        <f>G22^(1/COS((90-'12-Hypothèses'!$C$30)*PI()/180))</f>
        <v>0.54</v>
      </c>
      <c r="I22" s="1">
        <f>'12-Hypothèses'!$C$42</f>
        <v>0.7201949999999999</v>
      </c>
      <c r="J22" s="1">
        <v>1</v>
      </c>
      <c r="K22" s="1">
        <f>('12-Hypothèses'!$C$50/2)+('12-Hypothèses'!$C$50/2)*IF(A22&lt;'12-Hypothèses'!$C$51,COS((A22-'12-Hypothèses'!$C$51)*PI()/(2*('12-Hypothèses'!$C$51-'12-Hypothèses'!$C$52))),IF(A22&lt;'12-Hypothèses'!$C$53,COS((A22-'12-Hypothèses'!$C$51)*PI()/(2*('12-Hypothèses'!$C$53-'12-Hypothèses'!$C$51))),COS((PI()/2+(A22-'12-Hypothèses'!$C$53)*PI()/(2*(0.0000011-'12-Hypothèses'!$C$53))))))</f>
        <v>0.7681980515339464</v>
      </c>
      <c r="L22" s="1">
        <f t="shared" si="2"/>
        <v>173630269.0070998</v>
      </c>
    </row>
    <row r="23" spans="1:12" ht="12.75">
      <c r="A23" s="1">
        <v>4.7E-07</v>
      </c>
      <c r="B23" s="1">
        <f>2*'12-Hypothèses'!$C$58/(A23^4)/(EXP('12-Hypothèses'!$C$59*'12-Hypothèses'!$C$58/A23/'12-Hypothèses'!$C$60/'12-Hypothèses'!$C$9)-1)</f>
        <v>6.187460007599691E+31</v>
      </c>
      <c r="C23" s="1">
        <f>B23*'12-Hypothèses'!$C$59*'12-Hypothèses'!$C$58/'13-BilanPhotoniqueEtoile'!A23</f>
        <v>26151179358236.35</v>
      </c>
      <c r="D23">
        <v>0.091</v>
      </c>
      <c r="E23" s="1">
        <f t="shared" si="0"/>
        <v>1601576677436468.8</v>
      </c>
      <c r="F23" s="1">
        <f t="shared" si="1"/>
        <v>598671846.1249257</v>
      </c>
      <c r="G23" s="1">
        <v>0.555</v>
      </c>
      <c r="H23" s="1">
        <f>G23^(1/COS((90-'12-Hypothèses'!$C$30)*PI()/180))</f>
        <v>0.555</v>
      </c>
      <c r="I23" s="1">
        <f>'12-Hypothèses'!$C$42</f>
        <v>0.7201949999999999</v>
      </c>
      <c r="J23" s="1">
        <v>1</v>
      </c>
      <c r="K23" s="1">
        <f>('12-Hypothèses'!$C$50/2)+('12-Hypothèses'!$C$50/2)*IF(A23&lt;'12-Hypothèses'!$C$51,COS((A23-'12-Hypothèses'!$C$51)*PI()/(2*('12-Hypothèses'!$C$51-'12-Hypothèses'!$C$52))),IF(A23&lt;'12-Hypothèses'!$C$53,COS((A23-'12-Hypothèses'!$C$51)*PI()/(2*('12-Hypothèses'!$C$53-'12-Hypothèses'!$C$51))),COS((PI()/2+(A23-'12-Hypothèses'!$C$53)*PI()/(2*(0.0000011-'12-Hypothèses'!$C$53))))))</f>
        <v>0.8018241671106134</v>
      </c>
      <c r="L23" s="1">
        <f t="shared" si="2"/>
        <v>191871761.13344413</v>
      </c>
    </row>
    <row r="24" spans="1:12" ht="12.75">
      <c r="A24" s="1">
        <v>4.8E-07</v>
      </c>
      <c r="B24" s="1">
        <f>2*'12-Hypothèses'!$C$58/(A24^4)/(EXP('12-Hypothèses'!$C$59*'12-Hypothèses'!$C$58/A24/'12-Hypothèses'!$C$60/'12-Hypothèses'!$C$9)-1)</f>
        <v>6.354968785268504E+31</v>
      </c>
      <c r="C24" s="1">
        <f>B24*'12-Hypothèses'!$C$59*'12-Hypothèses'!$C$58/'13-BilanPhotoniqueEtoile'!A24</f>
        <v>26299586282932.04</v>
      </c>
      <c r="D24">
        <v>0.139</v>
      </c>
      <c r="E24" s="1">
        <f t="shared" si="0"/>
        <v>2460247398009443.5</v>
      </c>
      <c r="F24" s="1">
        <f t="shared" si="1"/>
        <v>614879270.3419625</v>
      </c>
      <c r="G24" s="1">
        <v>0.5655</v>
      </c>
      <c r="H24" s="1">
        <f>G24^(1/COS((90-'12-Hypothèses'!$C$30)*PI()/180))</f>
        <v>0.5655</v>
      </c>
      <c r="I24" s="1">
        <f>'12-Hypothèses'!$C$42</f>
        <v>0.7201949999999999</v>
      </c>
      <c r="J24" s="1">
        <v>1</v>
      </c>
      <c r="K24" s="1">
        <f>('12-Hypothèses'!$C$50/2)+('12-Hypothèses'!$C$50/2)*IF(A24&lt;'12-Hypothèses'!$C$51,COS((A24-'12-Hypothèses'!$C$51)*PI()/(2*('12-Hypothèses'!$C$51-'12-Hypothèses'!$C$52))),IF(A24&lt;'12-Hypothèses'!$C$53,COS((A24-'12-Hypothèses'!$C$51)*PI()/(2*('12-Hypothèses'!$C$53-'12-Hypothèses'!$C$51))),COS((PI()/2+(A24-'12-Hypothèses'!$C$53)*PI()/(2*(0.0000011-'12-Hypothèses'!$C$53))))))</f>
        <v>0.8310258896527277</v>
      </c>
      <c r="L24" s="1">
        <f t="shared" si="2"/>
        <v>208107205.21686542</v>
      </c>
    </row>
    <row r="25" spans="1:12" ht="12.75">
      <c r="A25" s="1">
        <v>4.9E-07</v>
      </c>
      <c r="B25" s="1">
        <f>2*'12-Hypothèses'!$C$58/(A25^4)/(EXP('12-Hypothèses'!$C$59*'12-Hypothèses'!$C$58/A25/'12-Hypothèses'!$C$60/'12-Hypothèses'!$C$9)-1)</f>
        <v>6.509241324550435E+31</v>
      </c>
      <c r="C25" s="1">
        <f>B25*'12-Hypothèses'!$C$59*'12-Hypothèses'!$C$58/'13-BilanPhotoniqueEtoile'!A25</f>
        <v>26388276453746.566</v>
      </c>
      <c r="D25">
        <v>0.208</v>
      </c>
      <c r="E25" s="1">
        <f t="shared" si="0"/>
        <v>3693936491101259</v>
      </c>
      <c r="F25" s="1">
        <f t="shared" si="1"/>
        <v>629806013.4295712</v>
      </c>
      <c r="G25" s="1">
        <v>0.575</v>
      </c>
      <c r="H25" s="1">
        <f>G25^(1/COS((90-'12-Hypothèses'!$C$30)*PI()/180))</f>
        <v>0.575</v>
      </c>
      <c r="I25" s="1">
        <f>'12-Hypothèses'!$C$42</f>
        <v>0.7201949999999999</v>
      </c>
      <c r="J25" s="1">
        <v>1</v>
      </c>
      <c r="K25" s="1">
        <f>('12-Hypothèses'!$C$50/2)+('12-Hypothèses'!$C$50/2)*IF(A25&lt;'12-Hypothèses'!$C$51,COS((A25-'12-Hypothèses'!$C$51)*PI()/(2*('12-Hypothèses'!$C$51-'12-Hypothèses'!$C$52))),IF(A25&lt;'12-Hypothèses'!$C$53,COS((A25-'12-Hypothèses'!$C$51)*PI()/(2*('12-Hypothèses'!$C$53-'12-Hypothèses'!$C$51))),COS((PI()/2+(A25-'12-Hypothèses'!$C$53)*PI()/(2*(0.0000011-'12-Hypothèses'!$C$53))))))</f>
        <v>0.8554359905560885</v>
      </c>
      <c r="L25" s="1">
        <f t="shared" si="2"/>
        <v>223106522.9386193</v>
      </c>
    </row>
    <row r="26" spans="1:12" ht="12.75">
      <c r="A26" s="1">
        <v>5E-07</v>
      </c>
      <c r="B26" s="1">
        <f>2*'12-Hypothèses'!$C$58/(A26^4)/(EXP('12-Hypothèses'!$C$59*'12-Hypothèses'!$C$58/A26/'12-Hypothèses'!$C$60/'12-Hypothèses'!$C$9)-1)</f>
        <v>6.650439569118947E+31</v>
      </c>
      <c r="C26" s="1">
        <f>B26*'12-Hypothèses'!$C$59*'12-Hypothèses'!$C$58/'13-BilanPhotoniqueEtoile'!A26</f>
        <v>26421476260591.28</v>
      </c>
      <c r="D26">
        <v>0.323</v>
      </c>
      <c r="E26" s="1">
        <f t="shared" si="0"/>
        <v>5743474088051072</v>
      </c>
      <c r="F26" s="1">
        <f t="shared" si="1"/>
        <v>643467744.356576</v>
      </c>
      <c r="G26" s="1">
        <v>0.585</v>
      </c>
      <c r="H26" s="1">
        <f>G26^(1/COS((90-'12-Hypothèses'!$C$30)*PI()/180))</f>
        <v>0.585</v>
      </c>
      <c r="I26" s="1">
        <f>'12-Hypothèses'!$C$42</f>
        <v>0.7201949999999999</v>
      </c>
      <c r="J26" s="1">
        <v>1</v>
      </c>
      <c r="K26" s="1">
        <f>('12-Hypothèses'!$C$50/2)+('12-Hypothèses'!$C$50/2)*IF(A26&lt;'12-Hypothèses'!$C$51,COS((A26-'12-Hypothèses'!$C$51)*PI()/(2*('12-Hypothèses'!$C$51-'12-Hypothèses'!$C$52))),IF(A26&lt;'12-Hypothèses'!$C$53,COS((A26-'12-Hypothèses'!$C$51)*PI()/(2*('12-Hypothèses'!$C$53-'12-Hypothèses'!$C$51))),COS((PI()/2+(A26-'12-Hypothèses'!$C$53)*PI()/(2*(0.0000011-'12-Hypothèses'!$C$53))))))</f>
        <v>0.8747474986387653</v>
      </c>
      <c r="L26" s="1">
        <f t="shared" si="2"/>
        <v>237145811.6892326</v>
      </c>
    </row>
    <row r="27" spans="1:12" ht="12.75">
      <c r="A27" s="1">
        <v>5.1E-07</v>
      </c>
      <c r="B27" s="1">
        <f>2*'12-Hypothèses'!$C$58/(A27^4)/(EXP('12-Hypothèses'!$C$59*'12-Hypothèses'!$C$58/A27/'12-Hypothèses'!$C$60/'12-Hypothèses'!$C$9)-1)</f>
        <v>6.778802986312228E+31</v>
      </c>
      <c r="C27" s="1">
        <f>B27*'12-Hypothèses'!$C$59*'12-Hypothèses'!$C$58/'13-BilanPhotoniqueEtoile'!A27</f>
        <v>26403382565860.215</v>
      </c>
      <c r="D27">
        <v>0.503</v>
      </c>
      <c r="E27" s="1">
        <f t="shared" si="0"/>
        <v>8938046662812434</v>
      </c>
      <c r="F27" s="1">
        <f t="shared" si="1"/>
        <v>655887632.9460162</v>
      </c>
      <c r="G27" s="1">
        <v>0.6</v>
      </c>
      <c r="H27" s="1">
        <f>G27^(1/COS((90-'12-Hypothèses'!$C$30)*PI()/180))</f>
        <v>0.6</v>
      </c>
      <c r="I27" s="1">
        <f>'12-Hypothèses'!$C$42</f>
        <v>0.7201949999999999</v>
      </c>
      <c r="J27" s="1">
        <v>1</v>
      </c>
      <c r="K27" s="1">
        <f>('12-Hypothèses'!$C$50/2)+('12-Hypothèses'!$C$50/2)*IF(A27&lt;'12-Hypothèses'!$C$51,COS((A27-'12-Hypothèses'!$C$51)*PI()/(2*('12-Hypothèses'!$C$51-'12-Hypothèses'!$C$52))),IF(A27&lt;'12-Hypothèses'!$C$53,COS((A27-'12-Hypothèses'!$C$51)*PI()/(2*('12-Hypothèses'!$C$53-'12-Hypothèses'!$C$51))),COS((PI()/2+(A27-'12-Hypothèses'!$C$53)*PI()/(2*(0.0000011-'12-Hypothèses'!$C$53))))))</f>
        <v>0.8887175604818206</v>
      </c>
      <c r="L27" s="1">
        <f t="shared" si="2"/>
        <v>251880505.43433595</v>
      </c>
    </row>
    <row r="28" spans="1:12" ht="12.75">
      <c r="A28" s="1">
        <v>5.2E-07</v>
      </c>
      <c r="B28" s="1">
        <f>2*'12-Hypothèses'!$C$58/(A28^4)/(EXP('12-Hypothèses'!$C$59*'12-Hypothèses'!$C$58/A28/'12-Hypothèses'!$C$60/'12-Hypothèses'!$C$9)-1)</f>
        <v>6.894635605142087E+31</v>
      </c>
      <c r="C28" s="1">
        <f>B28*'12-Hypothèses'!$C$59*'12-Hypothèses'!$C$58/'13-BilanPhotoniqueEtoile'!A28</f>
        <v>26338116027665.375</v>
      </c>
      <c r="D28">
        <v>0.71</v>
      </c>
      <c r="E28" s="1">
        <f t="shared" si="0"/>
        <v>12585141981499344</v>
      </c>
      <c r="F28" s="1">
        <f t="shared" si="1"/>
        <v>667095095.7289971</v>
      </c>
      <c r="G28" s="1">
        <v>0.61</v>
      </c>
      <c r="H28" s="1">
        <f>G28^(1/COS((90-'12-Hypothèses'!$C$30)*PI()/180))</f>
        <v>0.61</v>
      </c>
      <c r="I28" s="1">
        <f>'12-Hypothèses'!$C$42</f>
        <v>0.7201949999999999</v>
      </c>
      <c r="J28" s="1">
        <v>1</v>
      </c>
      <c r="K28" s="1">
        <f>('12-Hypothèses'!$C$50/2)+('12-Hypothèses'!$C$50/2)*IF(A28&lt;'12-Hypothèses'!$C$51,COS((A28-'12-Hypothèses'!$C$51)*PI()/(2*('12-Hypothèses'!$C$51-'12-Hypothèses'!$C$52))),IF(A28&lt;'12-Hypothèses'!$C$53,COS((A28-'12-Hypothèses'!$C$51)*PI()/(2*('12-Hypothèses'!$C$53-'12-Hypothèses'!$C$51))),COS((PI()/2+(A28-'12-Hypothèses'!$C$53)*PI()/(2*(0.0000011-'12-Hypothèses'!$C$53))))))</f>
        <v>0.8971704944519592</v>
      </c>
      <c r="L28" s="1">
        <f t="shared" si="2"/>
        <v>262931529.13991272</v>
      </c>
    </row>
    <row r="29" spans="1:12" ht="12.75">
      <c r="A29" s="1">
        <v>5.3E-07</v>
      </c>
      <c r="B29" s="1">
        <f>2*'12-Hypothèses'!$C$58/(A29^4)/(EXP('12-Hypothèses'!$C$59*'12-Hypothèses'!$C$58/A29/'12-Hypothèses'!$C$60/'12-Hypothèses'!$C$9)-1)</f>
        <v>6.998294262436676E+31</v>
      </c>
      <c r="C29" s="1">
        <f>B29*'12-Hypothèses'!$C$59*'12-Hypothèses'!$C$58/'13-BilanPhotoniqueEtoile'!A29</f>
        <v>26229684235332.926</v>
      </c>
      <c r="D29">
        <v>0.862</v>
      </c>
      <c r="E29" s="1">
        <f t="shared" si="0"/>
        <v>15216521796706748</v>
      </c>
      <c r="F29" s="1">
        <f t="shared" si="1"/>
        <v>677124658.6923393</v>
      </c>
      <c r="G29" s="1">
        <v>0.62</v>
      </c>
      <c r="H29" s="1">
        <f>G29^(1/COS((90-'12-Hypothèses'!$C$30)*PI()/180))</f>
        <v>0.62</v>
      </c>
      <c r="I29" s="1">
        <f>'12-Hypothèses'!$C$42</f>
        <v>0.7201949999999999</v>
      </c>
      <c r="J29" s="1">
        <v>1</v>
      </c>
      <c r="K29" s="1">
        <f>('12-Hypothèses'!$C$50/2)+('12-Hypothèses'!$C$50/2)*IF(A29&lt;'12-Hypothèses'!$C$51,COS((A29-'12-Hypothèses'!$C$51)*PI()/(2*('12-Hypothèses'!$C$51-'12-Hypothèses'!$C$52))),IF(A29&lt;'12-Hypothèses'!$C$53,COS((A29-'12-Hypothèses'!$C$51)*PI()/(2*('12-Hypothèses'!$C$53-'12-Hypothèses'!$C$51))),COS((PI()/2+(A29-'12-Hypothèses'!$C$53)*PI()/(2*(0.0000011-'12-Hypothèses'!$C$53))))))</f>
        <v>0.9</v>
      </c>
      <c r="L29" s="1">
        <f t="shared" si="2"/>
        <v>272115280.81034654</v>
      </c>
    </row>
    <row r="30" spans="1:12" ht="12.75">
      <c r="A30" s="1">
        <v>5.4E-07</v>
      </c>
      <c r="B30" s="1">
        <f>2*'12-Hypothèses'!$C$58/(A30^4)/(EXP('12-Hypothèses'!$C$59*'12-Hypothèses'!$C$58/A30/'12-Hypothèses'!$C$60/'12-Hypothèses'!$C$9)-1)</f>
        <v>7.090178044697743E+31</v>
      </c>
      <c r="C30" s="1">
        <f>B30*'12-Hypothèses'!$C$59*'12-Hypothèses'!$C$58/'13-BilanPhotoniqueEtoile'!A30</f>
        <v>26081953339515.043</v>
      </c>
      <c r="D30">
        <v>0.954</v>
      </c>
      <c r="E30" s="1">
        <f t="shared" si="0"/>
        <v>16745709486008918</v>
      </c>
      <c r="F30" s="1">
        <f t="shared" si="1"/>
        <v>686014935.7183905</v>
      </c>
      <c r="G30" s="1">
        <v>0.628</v>
      </c>
      <c r="H30" s="1">
        <f>G30^(1/COS((90-'12-Hypothèses'!$C$30)*PI()/180))</f>
        <v>0.628</v>
      </c>
      <c r="I30" s="1">
        <f>'12-Hypothèses'!$C$42</f>
        <v>0.7201949999999999</v>
      </c>
      <c r="J30" s="1">
        <v>1</v>
      </c>
      <c r="K30" s="1">
        <f>('12-Hypothèses'!$C$50/2)+('12-Hypothèses'!$C$50/2)*IF(A30&lt;'12-Hypothèses'!$C$51,COS((A30-'12-Hypothèses'!$C$51)*PI()/(2*('12-Hypothèses'!$C$51-'12-Hypothèses'!$C$52))),IF(A30&lt;'12-Hypothèses'!$C$53,COS((A30-'12-Hypothèses'!$C$51)*PI()/(2*('12-Hypothèses'!$C$53-'12-Hypothèses'!$C$51))),COS((PI()/2+(A30-'12-Hypothèses'!$C$53)*PI()/(2*(0.0000011-'12-Hypothèses'!$C$53))))))</f>
        <v>0.8992386712220707</v>
      </c>
      <c r="L30" s="1">
        <f t="shared" si="2"/>
        <v>279009051.0505598</v>
      </c>
    </row>
    <row r="31" spans="1:12" ht="12.75">
      <c r="A31" s="1">
        <v>5.5E-07</v>
      </c>
      <c r="B31" s="1">
        <f>2*'12-Hypothèses'!$C$58/(A31^4)/(EXP('12-Hypothèses'!$C$59*'12-Hypothèses'!$C$58/A31/'12-Hypothèses'!$C$60/'12-Hypothèses'!$C$9)-1)</f>
        <v>7.170718887180184E+31</v>
      </c>
      <c r="C31" s="1">
        <f>B31*'12-Hypothèses'!$C$59*'12-Hypothèses'!$C$58/'13-BilanPhotoniqueEtoile'!A31</f>
        <v>25898626956761.188</v>
      </c>
      <c r="D31">
        <v>0.995</v>
      </c>
      <c r="E31" s="1">
        <f t="shared" si="0"/>
        <v>17342627062190778</v>
      </c>
      <c r="F31" s="1">
        <f t="shared" si="1"/>
        <v>693807718.9926577</v>
      </c>
      <c r="G31" s="1">
        <v>0.635</v>
      </c>
      <c r="H31" s="1">
        <f>G31^(1/COS((90-'12-Hypothèses'!$C$30)*PI()/180))</f>
        <v>0.635</v>
      </c>
      <c r="I31" s="1">
        <f>'12-Hypothèses'!$C$42</f>
        <v>0.7201949999999999</v>
      </c>
      <c r="J31" s="1">
        <v>1</v>
      </c>
      <c r="K31" s="1">
        <f>('12-Hypothèses'!$C$50/2)+('12-Hypothèses'!$C$50/2)*IF(A31&lt;'12-Hypothèses'!$C$51,COS((A31-'12-Hypothèses'!$C$51)*PI()/(2*('12-Hypothèses'!$C$51-'12-Hypothèses'!$C$52))),IF(A31&lt;'12-Hypothèses'!$C$53,COS((A31-'12-Hypothèses'!$C$51)*PI()/(2*('12-Hypothèses'!$C$53-'12-Hypothèses'!$C$51))),COS((PI()/2+(A31-'12-Hypothèses'!$C$53)*PI()/(2*(0.0000011-'12-Hypothèses'!$C$53))))))</f>
        <v>0.8969572609838744</v>
      </c>
      <c r="L31" s="1">
        <f t="shared" si="2"/>
        <v>284599874.61066186</v>
      </c>
    </row>
    <row r="32" spans="1:12" ht="12.75">
      <c r="A32" s="1">
        <v>5.6E-07</v>
      </c>
      <c r="B32" s="1">
        <f>2*'12-Hypothèses'!$C$58/(A32^4)/(EXP('12-Hypothèses'!$C$59*'12-Hypothèses'!$C$58/A32/'12-Hypothèses'!$C$60/'12-Hypothèses'!$C$9)-1)</f>
        <v>7.240373273432687E+31</v>
      </c>
      <c r="C32" s="1">
        <f>B32*'12-Hypothèses'!$C$59*'12-Hypothèses'!$C$58/'13-BilanPhotoniqueEtoile'!A32</f>
        <v>25683231237896.758</v>
      </c>
      <c r="D32">
        <v>0.995</v>
      </c>
      <c r="E32" s="1">
        <f t="shared" si="0"/>
        <v>17198390549988996</v>
      </c>
      <c r="F32" s="1">
        <f t="shared" si="1"/>
        <v>700547175.8872907</v>
      </c>
      <c r="G32" s="1">
        <v>0.64</v>
      </c>
      <c r="H32" s="1">
        <f>G32^(1/COS((90-'12-Hypothèses'!$C$30)*PI()/180))</f>
        <v>0.64</v>
      </c>
      <c r="I32" s="1">
        <f>'12-Hypothèses'!$C$42</f>
        <v>0.7201949999999999</v>
      </c>
      <c r="J32" s="1">
        <v>1</v>
      </c>
      <c r="K32" s="1">
        <f>('12-Hypothèses'!$C$50/2)+('12-Hypothèses'!$C$50/2)*IF(A32&lt;'12-Hypothèses'!$C$51,COS((A32-'12-Hypothèses'!$C$51)*PI()/(2*('12-Hypothèses'!$C$51-'12-Hypothèses'!$C$52))),IF(A32&lt;'12-Hypothèses'!$C$53,COS((A32-'12-Hypothèses'!$C$51)*PI()/(2*('12-Hypothèses'!$C$53-'12-Hypothèses'!$C$51))),COS((PI()/2+(A32-'12-Hypothèses'!$C$53)*PI()/(2*(0.0000011-'12-Hypothèses'!$C$53))))))</f>
        <v>0.8931634888554936</v>
      </c>
      <c r="L32" s="1">
        <f t="shared" si="2"/>
        <v>288402103.75485575</v>
      </c>
    </row>
    <row r="33" spans="1:12" ht="12.75">
      <c r="A33" s="1">
        <v>5.7E-07</v>
      </c>
      <c r="B33" s="1">
        <f>2*'12-Hypothèses'!$C$58/(A33^4)/(EXP('12-Hypothèses'!$C$59*'12-Hypothèses'!$C$58/A33/'12-Hypothèses'!$C$60/'12-Hypothèses'!$C$9)-1)</f>
        <v>7.299614966499605E+31</v>
      </c>
      <c r="C33" s="1">
        <f>B33*'12-Hypothèses'!$C$59*'12-Hypothèses'!$C$58/'13-BilanPhotoniqueEtoile'!A33</f>
        <v>25439105103483.25</v>
      </c>
      <c r="D33">
        <v>0.952</v>
      </c>
      <c r="E33" s="1">
        <f t="shared" si="0"/>
        <v>16298732883381304</v>
      </c>
      <c r="F33" s="1">
        <f t="shared" si="1"/>
        <v>706279145.6636411</v>
      </c>
      <c r="G33" s="1">
        <v>0.645</v>
      </c>
      <c r="H33" s="1">
        <f>G33^(1/COS((90-'12-Hypothèses'!$C$30)*PI()/180))</f>
        <v>0.645</v>
      </c>
      <c r="I33" s="1">
        <f>'12-Hypothèses'!$C$42</f>
        <v>0.7201949999999999</v>
      </c>
      <c r="J33" s="1">
        <v>1</v>
      </c>
      <c r="K33" s="1">
        <f>('12-Hypothèses'!$C$50/2)+('12-Hypothèses'!$C$50/2)*IF(A33&lt;'12-Hypothèses'!$C$51,COS((A33-'12-Hypothèses'!$C$51)*PI()/(2*('12-Hypothèses'!$C$51-'12-Hypothèses'!$C$52))),IF(A33&lt;'12-Hypothèses'!$C$53,COS((A33-'12-Hypothèses'!$C$51)*PI()/(2*('12-Hypothèses'!$C$53-'12-Hypothèses'!$C$51))),COS((PI()/2+(A33-'12-Hypothèses'!$C$53)*PI()/(2*(0.0000011-'12-Hypothèses'!$C$53))))))</f>
        <v>0.8878701917609207</v>
      </c>
      <c r="L33" s="1">
        <f t="shared" si="2"/>
        <v>291296774.22617835</v>
      </c>
    </row>
    <row r="34" spans="1:12" ht="12.75">
      <c r="A34" s="1">
        <v>5.8E-07</v>
      </c>
      <c r="B34" s="1">
        <f>2*'12-Hypothèses'!$C$58/(A34^4)/(EXP('12-Hypothèses'!$C$59*'12-Hypothèses'!$C$58/A34/'12-Hypothèses'!$C$60/'12-Hypothèses'!$C$9)-1)</f>
        <v>7.348928695836445E+31</v>
      </c>
      <c r="C34" s="1">
        <f>B34*'12-Hypothèses'!$C$59*'12-Hypothèses'!$C$58/'13-BilanPhotoniqueEtoile'!A34</f>
        <v>25169394762633.082</v>
      </c>
      <c r="D34">
        <v>0.87</v>
      </c>
      <c r="E34" s="1">
        <f t="shared" si="0"/>
        <v>14736932327469296</v>
      </c>
      <c r="F34" s="1">
        <f t="shared" si="1"/>
        <v>711050528.6455319</v>
      </c>
      <c r="G34" s="1">
        <v>0.65</v>
      </c>
      <c r="H34" s="1">
        <f>G34^(1/COS((90-'12-Hypothèses'!$C$30)*PI()/180))</f>
        <v>0.65</v>
      </c>
      <c r="I34" s="1">
        <f>'12-Hypothèses'!$C$42</f>
        <v>0.7201949999999999</v>
      </c>
      <c r="J34" s="1">
        <v>1</v>
      </c>
      <c r="K34" s="1">
        <f>('12-Hypothèses'!$C$50/2)+('12-Hypothèses'!$C$50/2)*IF(A34&lt;'12-Hypothèses'!$C$51,COS((A34-'12-Hypothèses'!$C$51)*PI()/(2*('12-Hypothèses'!$C$51-'12-Hypothèses'!$C$52))),IF(A34&lt;'12-Hypothèses'!$C$53,COS((A34-'12-Hypothèses'!$C$51)*PI()/(2*('12-Hypothèses'!$C$53-'12-Hypothèses'!$C$51))),COS((PI()/2+(A34-'12-Hypothèses'!$C$53)*PI()/(2*(0.0000011-'12-Hypothèses'!$C$53))))))</f>
        <v>0.8810952805419701</v>
      </c>
      <c r="L34" s="1">
        <f t="shared" si="2"/>
        <v>293282937.31653994</v>
      </c>
    </row>
    <row r="35" spans="1:12" ht="12.75">
      <c r="A35" s="1">
        <v>5.9E-07</v>
      </c>
      <c r="B35" s="1">
        <f>2*'12-Hypothèses'!$C$58/(A35^4)/(EXP('12-Hypothèses'!$C$59*'12-Hypothèses'!$C$58/A35/'12-Hypothèses'!$C$60/'12-Hypothèses'!$C$9)-1)</f>
        <v>7.388804720615234E+31</v>
      </c>
      <c r="C35" s="1">
        <f>B35*'12-Hypothèses'!$C$59*'12-Hypothèses'!$C$58/'13-BilanPhotoniqueEtoile'!A35</f>
        <v>24877051739912.848</v>
      </c>
      <c r="D35">
        <v>0.757</v>
      </c>
      <c r="E35" s="1">
        <f aca="true" t="shared" si="3" ref="E35:E66">C35*D35*673</f>
        <v>12673887656467740</v>
      </c>
      <c r="F35" s="1">
        <f aca="true" t="shared" si="4" ref="F35:F66">B35*$E$93</f>
        <v>714908760.1882198</v>
      </c>
      <c r="G35" s="1">
        <v>0.655</v>
      </c>
      <c r="H35" s="1">
        <f>G35^(1/COS((90-'12-Hypothèses'!$C$30)*PI()/180))</f>
        <v>0.655</v>
      </c>
      <c r="I35" s="1">
        <f>'12-Hypothèses'!$C$42</f>
        <v>0.7201949999999999</v>
      </c>
      <c r="J35" s="1">
        <v>1</v>
      </c>
      <c r="K35" s="1">
        <f>('12-Hypothèses'!$C$50/2)+('12-Hypothèses'!$C$50/2)*IF(A35&lt;'12-Hypothèses'!$C$51,COS((A35-'12-Hypothèses'!$C$51)*PI()/(2*('12-Hypothèses'!$C$51-'12-Hypothèses'!$C$52))),IF(A35&lt;'12-Hypothèses'!$C$53,COS((A35-'12-Hypothèses'!$C$51)*PI()/(2*('12-Hypothèses'!$C$53-'12-Hypothèses'!$C$51))),COS((PI()/2+(A35-'12-Hypothèses'!$C$53)*PI()/(2*(0.0000011-'12-Hypothèses'!$C$53))))))</f>
        <v>0.8728616793536588</v>
      </c>
      <c r="L35" s="1">
        <f aca="true" t="shared" si="5" ref="L35:L66">F35*H35*I35*J35*K35</f>
        <v>294365865.5112755</v>
      </c>
    </row>
    <row r="36" spans="1:12" ht="12.75">
      <c r="A36" s="1">
        <v>6E-07</v>
      </c>
      <c r="B36" s="1">
        <f>2*'12-Hypothèses'!$C$58/(A36^4)/(EXP('12-Hypothèses'!$C$59*'12-Hypothèses'!$C$58/A36/'12-Hypothèses'!$C$60/'12-Hypothèses'!$C$9)-1)</f>
        <v>7.419734189564625E+31</v>
      </c>
      <c r="C36" s="1">
        <f>B36*'12-Hypothèses'!$C$59*'12-Hypothèses'!$C$58/'13-BilanPhotoniqueEtoile'!A36</f>
        <v>24564833736678.19</v>
      </c>
      <c r="D36">
        <v>0.631</v>
      </c>
      <c r="E36" s="1">
        <f t="shared" si="3"/>
        <v>10431775989118972</v>
      </c>
      <c r="F36" s="1">
        <f t="shared" si="4"/>
        <v>717901361.71661</v>
      </c>
      <c r="G36" s="1">
        <v>0.66</v>
      </c>
      <c r="H36" s="1">
        <f>G36^(1/COS((90-'12-Hypothèses'!$C$30)*PI()/180))</f>
        <v>0.66</v>
      </c>
      <c r="I36" s="1">
        <f>'12-Hypothèses'!$C$42</f>
        <v>0.7201949999999999</v>
      </c>
      <c r="J36" s="1">
        <v>1</v>
      </c>
      <c r="K36" s="1">
        <f>('12-Hypothèses'!$C$50/2)+('12-Hypothèses'!$C$50/2)*IF(A36&lt;'12-Hypothèses'!$C$51,COS((A36-'12-Hypothèses'!$C$51)*PI()/(2*('12-Hypothèses'!$C$51-'12-Hypothèses'!$C$52))),IF(A36&lt;'12-Hypothèses'!$C$53,COS((A36-'12-Hypothèses'!$C$51)*PI()/(2*('12-Hypothèses'!$C$53-'12-Hypothèses'!$C$51))),COS((PI()/2+(A36-'12-Hypothèses'!$C$53)*PI()/(2*(0.0000011-'12-Hypothèses'!$C$53))))))</f>
        <v>0.8631972480961234</v>
      </c>
      <c r="L36" s="1">
        <f t="shared" si="5"/>
        <v>294556670.1838856</v>
      </c>
    </row>
    <row r="37" spans="1:12" ht="12.75">
      <c r="A37" s="1">
        <v>6.1E-07</v>
      </c>
      <c r="B37" s="1">
        <f>2*'12-Hypothèses'!$C$58/(A37^4)/(EXP('12-Hypothèses'!$C$59*'12-Hypothèses'!$C$58/A37/'12-Hypothèses'!$C$60/'12-Hypothèses'!$C$9)-1)</f>
        <v>7.4422052190510875E+31</v>
      </c>
      <c r="C37" s="1">
        <f>B37*'12-Hypothèses'!$C$59*'12-Hypothèses'!$C$58/'13-BilanPhotoniqueEtoile'!A37</f>
        <v>24235307746616.668</v>
      </c>
      <c r="D37">
        <v>0.503</v>
      </c>
      <c r="E37" s="1">
        <f t="shared" si="3"/>
        <v>8204112143076928</v>
      </c>
      <c r="F37" s="1">
        <f t="shared" si="4"/>
        <v>720075561.2573689</v>
      </c>
      <c r="G37" s="1">
        <v>0.67</v>
      </c>
      <c r="H37" s="1">
        <f>G37^(1/COS((90-'12-Hypothèses'!$C$30)*PI()/180))</f>
        <v>0.67</v>
      </c>
      <c r="I37" s="1">
        <f>'12-Hypothèses'!$C$42</f>
        <v>0.7201949999999999</v>
      </c>
      <c r="J37" s="1">
        <v>1</v>
      </c>
      <c r="K37" s="1">
        <f>('12-Hypothèses'!$C$50/2)+('12-Hypothèses'!$C$50/2)*IF(A37&lt;'12-Hypothèses'!$C$51,COS((A37-'12-Hypothèses'!$C$51)*PI()/(2*('12-Hypothèses'!$C$51-'12-Hypothèses'!$C$52))),IF(A37&lt;'12-Hypothèses'!$C$53,COS((A37-'12-Hypothèses'!$C$51)*PI()/(2*('12-Hypothèses'!$C$53-'12-Hypothèses'!$C$51))),COS((PI()/2+(A37-'12-Hypothèses'!$C$53)*PI()/(2*(0.0000011-'12-Hypothèses'!$C$53))))))</f>
        <v>0.8521346881455356</v>
      </c>
      <c r="L37" s="1">
        <f t="shared" si="5"/>
        <v>296081464.93135405</v>
      </c>
    </row>
    <row r="38" spans="1:12" ht="12.75">
      <c r="A38" s="1">
        <v>6.2E-07</v>
      </c>
      <c r="B38" s="1">
        <f>2*'12-Hypothèses'!$C$58/(A38^4)/(EXP('12-Hypothèses'!$C$59*'12-Hypothèses'!$C$58/A38/'12-Hypothèses'!$C$60/'12-Hypothèses'!$C$9)-1)</f>
        <v>7.456699614156675E+31</v>
      </c>
      <c r="C38" s="1">
        <f>B38*'12-Hypothèses'!$C$59*'12-Hypothèses'!$C$58/'13-BilanPhotoniqueEtoile'!A38</f>
        <v>23890854929912.164</v>
      </c>
      <c r="D38">
        <v>0.381</v>
      </c>
      <c r="E38" s="1">
        <f t="shared" si="3"/>
        <v>6125925785143568</v>
      </c>
      <c r="F38" s="1">
        <f t="shared" si="4"/>
        <v>721477976.1846037</v>
      </c>
      <c r="G38" s="1">
        <v>0.68</v>
      </c>
      <c r="H38" s="1">
        <f>G38^(1/COS((90-'12-Hypothèses'!$C$30)*PI()/180))</f>
        <v>0.68</v>
      </c>
      <c r="I38" s="1">
        <f>'12-Hypothèses'!$C$42</f>
        <v>0.7201949999999999</v>
      </c>
      <c r="J38" s="1">
        <v>1</v>
      </c>
      <c r="K38" s="1">
        <f>('12-Hypothèses'!$C$50/2)+('12-Hypothèses'!$C$50/2)*IF(A38&lt;'12-Hypothèses'!$C$51,COS((A38-'12-Hypothèses'!$C$51)*PI()/(2*('12-Hypothèses'!$C$51-'12-Hypothèses'!$C$52))),IF(A38&lt;'12-Hypothèses'!$C$53,COS((A38-'12-Hypothèses'!$C$51)*PI()/(2*('12-Hypothèses'!$C$53-'12-Hypothèses'!$C$51))),COS((PI()/2+(A38-'12-Hypothèses'!$C$53)*PI()/(2*(0.0000011-'12-Hypothèses'!$C$53))))))</f>
        <v>0.8397114317029974</v>
      </c>
      <c r="L38" s="1">
        <f t="shared" si="5"/>
        <v>296696319.2932595</v>
      </c>
    </row>
    <row r="39" spans="1:12" ht="12.75">
      <c r="A39" s="1">
        <v>6.3E-07</v>
      </c>
      <c r="B39" s="1">
        <f>2*'12-Hypothèses'!$C$58/(A39^4)/(EXP('12-Hypothèses'!$C$59*'12-Hypothèses'!$C$58/A39/'12-Hypothèses'!$C$60/'12-Hypothèses'!$C$9)-1)</f>
        <v>7.463690161565685E+31</v>
      </c>
      <c r="C39" s="1">
        <f>B39*'12-Hypothèses'!$C$59*'12-Hypothèses'!$C$58/'13-BilanPhotoniqueEtoile'!A39</f>
        <v>23533676826167.258</v>
      </c>
      <c r="D39">
        <v>0.265</v>
      </c>
      <c r="E39" s="1">
        <f t="shared" si="3"/>
        <v>4197113593562799.5</v>
      </c>
      <c r="F39" s="1">
        <f t="shared" si="4"/>
        <v>722154351.2912929</v>
      </c>
      <c r="G39" s="1">
        <v>0.69</v>
      </c>
      <c r="H39" s="1">
        <f>G39^(1/COS((90-'12-Hypothèses'!$C$30)*PI()/180))</f>
        <v>0.69</v>
      </c>
      <c r="I39" s="1">
        <f>'12-Hypothèses'!$C$42</f>
        <v>0.7201949999999999</v>
      </c>
      <c r="J39" s="1">
        <v>1</v>
      </c>
      <c r="K39" s="1">
        <f>('12-Hypothèses'!$C$50/2)+('12-Hypothèses'!$C$50/2)*IF(A39&lt;'12-Hypothèses'!$C$51,COS((A39-'12-Hypothèses'!$C$51)*PI()/(2*('12-Hypothèses'!$C$51-'12-Hypothèses'!$C$52))),IF(A39&lt;'12-Hypothèses'!$C$53,COS((A39-'12-Hypothèses'!$C$51)*PI()/(2*('12-Hypothèses'!$C$53-'12-Hypothèses'!$C$51))),COS((PI()/2+(A39-'12-Hypothèses'!$C$53)*PI()/(2*(0.0000011-'12-Hypothèses'!$C$53))))))</f>
        <v>0.8259695151358214</v>
      </c>
      <c r="L39" s="1">
        <f t="shared" si="5"/>
        <v>296410267.8054524</v>
      </c>
    </row>
    <row r="40" spans="1:12" ht="12.75">
      <c r="A40" s="1">
        <v>6.4E-07</v>
      </c>
      <c r="B40" s="1">
        <f>2*'12-Hypothèses'!$C$58/(A40^4)/(EXP('12-Hypothèses'!$C$59*'12-Hypothèses'!$C$58/A40/'12-Hypothèses'!$C$60/'12-Hypothèses'!$C$9)-1)</f>
        <v>7.4636384277632605E+31</v>
      </c>
      <c r="C40" s="1">
        <f>B40*'12-Hypothèses'!$C$59*'12-Hypothèses'!$C$58/'13-BilanPhotoniqueEtoile'!A40</f>
        <v>23165802553262.3</v>
      </c>
      <c r="D40">
        <v>0.175</v>
      </c>
      <c r="E40" s="1">
        <f t="shared" si="3"/>
        <v>2728352395710467.5</v>
      </c>
      <c r="F40" s="1">
        <f t="shared" si="4"/>
        <v>722149345.7525151</v>
      </c>
      <c r="G40" s="1">
        <v>0.7</v>
      </c>
      <c r="H40" s="1">
        <f>G40^(1/COS((90-'12-Hypothèses'!$C$30)*PI()/180))</f>
        <v>0.7</v>
      </c>
      <c r="I40" s="1">
        <f>'12-Hypothèses'!$C$42</f>
        <v>0.7201949999999999</v>
      </c>
      <c r="J40" s="1">
        <v>1</v>
      </c>
      <c r="K40" s="1">
        <f>('12-Hypothèses'!$C$50/2)+('12-Hypothèses'!$C$50/2)*IF(A40&lt;'12-Hypothèses'!$C$51,COS((A40-'12-Hypothèses'!$C$51)*PI()/(2*('12-Hypothèses'!$C$51-'12-Hypothèses'!$C$52))),IF(A40&lt;'12-Hypothèses'!$C$53,COS((A40-'12-Hypothèses'!$C$51)*PI()/(2*('12-Hypothèses'!$C$53-'12-Hypothèses'!$C$51))),COS((PI()/2+(A40-'12-Hypothèses'!$C$53)*PI()/(2*(0.0000011-'12-Hypothèses'!$C$53))))))</f>
        <v>0.8109554367397698</v>
      </c>
      <c r="L40" s="1">
        <f t="shared" si="5"/>
        <v>295237931.4133865</v>
      </c>
    </row>
    <row r="41" spans="1:12" ht="12.75">
      <c r="A41" s="1">
        <v>6.5E-07</v>
      </c>
      <c r="B41" s="1">
        <f>2*'12-Hypothèses'!$C$58/(A41^4)/(EXP('12-Hypothèses'!$C$59*'12-Hypothèses'!$C$58/A41/'12-Hypothèses'!$C$60/'12-Hypothèses'!$C$9)-1)</f>
        <v>7.456993001084093E+31</v>
      </c>
      <c r="C41" s="1">
        <f>B41*'12-Hypothèses'!$C$59*'12-Hypothèses'!$C$58/'13-BilanPhotoniqueEtoile'!A41</f>
        <v>22789096698141.617</v>
      </c>
      <c r="D41">
        <v>0.107</v>
      </c>
      <c r="E41" s="1">
        <f t="shared" si="3"/>
        <v>1641065642329875.8</v>
      </c>
      <c r="F41" s="1">
        <f t="shared" si="4"/>
        <v>721506363.0336905</v>
      </c>
      <c r="G41" s="1">
        <v>0.71</v>
      </c>
      <c r="H41" s="1">
        <f>G41^(1/COS((90-'12-Hypothèses'!$C$30)*PI()/180))</f>
        <v>0.71</v>
      </c>
      <c r="I41" s="1">
        <f>'12-Hypothèses'!$C$42</f>
        <v>0.7201949999999999</v>
      </c>
      <c r="J41" s="1">
        <v>1</v>
      </c>
      <c r="K41" s="1">
        <f>('12-Hypothèses'!$C$50/2)+('12-Hypothèses'!$C$50/2)*IF(A41&lt;'12-Hypothèses'!$C$51,COS((A41-'12-Hypothèses'!$C$51)*PI()/(2*('12-Hypothèses'!$C$51-'12-Hypothèses'!$C$52))),IF(A41&lt;'12-Hypothèses'!$C$53,COS((A41-'12-Hypothèses'!$C$51)*PI()/(2*('12-Hypothèses'!$C$53-'12-Hypothèses'!$C$51))),COS((PI()/2+(A41-'12-Hypothèses'!$C$53)*PI()/(2*(0.0000011-'12-Hypothèses'!$C$53))))))</f>
        <v>0.7947199994035401</v>
      </c>
      <c r="L41" s="1">
        <f t="shared" si="5"/>
        <v>293199184.81958455</v>
      </c>
    </row>
    <row r="42" spans="1:12" ht="12.75">
      <c r="A42" s="1">
        <v>6.6E-07</v>
      </c>
      <c r="B42" s="1">
        <f>2*'12-Hypothèses'!$C$58/(A42^4)/(EXP('12-Hypothèses'!$C$59*'12-Hypothèses'!$C$58/A42/'12-Hypothèses'!$C$60/'12-Hypothèses'!$C$9)-1)</f>
        <v>7.444188121312373E+31</v>
      </c>
      <c r="C42" s="1">
        <f>B42*'12-Hypothèses'!$C$59*'12-Hypothèses'!$C$58/'13-BilanPhotoniqueEtoile'!A42</f>
        <v>22405267656694.285</v>
      </c>
      <c r="D42">
        <v>0.061</v>
      </c>
      <c r="E42" s="1">
        <f t="shared" si="3"/>
        <v>919803453110270.4</v>
      </c>
      <c r="F42" s="1">
        <f t="shared" si="4"/>
        <v>720267418.2966049</v>
      </c>
      <c r="G42" s="1">
        <v>0.72</v>
      </c>
      <c r="H42" s="1">
        <f>G42^(1/COS((90-'12-Hypothèses'!$C$30)*PI()/180))</f>
        <v>0.72</v>
      </c>
      <c r="I42" s="1">
        <f>'12-Hypothèses'!$C$42</f>
        <v>0.7201949999999999</v>
      </c>
      <c r="J42" s="1">
        <v>1</v>
      </c>
      <c r="K42" s="1">
        <f>('12-Hypothèses'!$C$50/2)+('12-Hypothèses'!$C$50/2)*IF(A42&lt;'12-Hypothèses'!$C$51,COS((A42-'12-Hypothèses'!$C$51)*PI()/(2*('12-Hypothèses'!$C$51-'12-Hypothèses'!$C$52))),IF(A42&lt;'12-Hypothèses'!$C$53,COS((A42-'12-Hypothèses'!$C$51)*PI()/(2*('12-Hypothèses'!$C$53-'12-Hypothèses'!$C$51))),COS((PI()/2+(A42-'12-Hypothèses'!$C$53)*PI()/(2*(0.0000011-'12-Hypothèses'!$C$53))))))</f>
        <v>0.7773181387078718</v>
      </c>
      <c r="L42" s="1">
        <f t="shared" si="5"/>
        <v>290318806.694852</v>
      </c>
    </row>
    <row r="43" spans="1:12" ht="12.75">
      <c r="A43" s="1">
        <v>6.7E-07</v>
      </c>
      <c r="B43" s="1">
        <f>2*'12-Hypothèses'!$C$58/(A43^4)/(EXP('12-Hypothèses'!$C$59*'12-Hypothèses'!$C$58/A43/'12-Hypothèses'!$C$60/'12-Hypothèses'!$C$9)-1)</f>
        <v>7.425642645663001E+31</v>
      </c>
      <c r="C43" s="1">
        <f>B43*'12-Hypothèses'!$C$59*'12-Hypothèses'!$C$58/'13-BilanPhotoniqueEtoile'!A43</f>
        <v>22015876224098.027</v>
      </c>
      <c r="D43">
        <v>0.032</v>
      </c>
      <c r="E43" s="1">
        <f t="shared" si="3"/>
        <v>474133910362175.1</v>
      </c>
      <c r="F43" s="1">
        <f t="shared" si="4"/>
        <v>718473038.3522274</v>
      </c>
      <c r="G43" s="1">
        <v>0.73</v>
      </c>
      <c r="H43" s="1">
        <f>G43^(1/COS((90-'12-Hypothèses'!$C$30)*PI()/180))</f>
        <v>0.73</v>
      </c>
      <c r="I43" s="1">
        <f>'12-Hypothèses'!$C$42</f>
        <v>0.7201949999999999</v>
      </c>
      <c r="J43" s="1">
        <v>1</v>
      </c>
      <c r="K43" s="1">
        <f>('12-Hypothèses'!$C$50/2)+('12-Hypothèses'!$C$50/2)*IF(A43&lt;'12-Hypothèses'!$C$51,COS((A43-'12-Hypothèses'!$C$51)*PI()/(2*('12-Hypothèses'!$C$51-'12-Hypothèses'!$C$52))),IF(A43&lt;'12-Hypothèses'!$C$53,COS((A43-'12-Hypothèses'!$C$51)*PI()/(2*('12-Hypothèses'!$C$53-'12-Hypothèses'!$C$51))),COS((PI()/2+(A43-'12-Hypothèses'!$C$53)*PI()/(2*(0.0000011-'12-Hypothèses'!$C$53))))))</f>
        <v>0.75880873704093</v>
      </c>
      <c r="L43" s="1">
        <f t="shared" si="5"/>
        <v>286626116.94519544</v>
      </c>
    </row>
    <row r="44" spans="1:12" ht="12.75">
      <c r="A44" s="1">
        <v>6.8E-07</v>
      </c>
      <c r="B44" s="1">
        <f>2*'12-Hypothèses'!$C$58/(A44^4)/(EXP('12-Hypothèses'!$C$59*'12-Hypothèses'!$C$58/A44/'12-Hypothèses'!$C$60/'12-Hypothèses'!$C$9)-1)</f>
        <v>7.401759304953705E+31</v>
      </c>
      <c r="C44" s="1">
        <f>B44*'12-Hypothèses'!$C$59*'12-Hypothèses'!$C$58/'13-BilanPhotoniqueEtoile'!A44</f>
        <v>21622344274910.03</v>
      </c>
      <c r="D44">
        <v>0.017</v>
      </c>
      <c r="E44" s="1">
        <f t="shared" si="3"/>
        <v>247381240849245.7</v>
      </c>
      <c r="F44" s="1">
        <f t="shared" si="4"/>
        <v>716162189.6911447</v>
      </c>
      <c r="G44" s="1">
        <v>0.74</v>
      </c>
      <c r="H44" s="1">
        <f>G44^(1/COS((90-'12-Hypothèses'!$C$30)*PI()/180))</f>
        <v>0.74</v>
      </c>
      <c r="I44" s="1">
        <f>'12-Hypothèses'!$C$42</f>
        <v>0.7201949999999999</v>
      </c>
      <c r="J44" s="1">
        <v>1</v>
      </c>
      <c r="K44" s="1">
        <f>('12-Hypothèses'!$C$50/2)+('12-Hypothèses'!$C$50/2)*IF(A44&lt;'12-Hypothèses'!$C$51,COS((A44-'12-Hypothèses'!$C$51)*PI()/(2*('12-Hypothèses'!$C$51-'12-Hypothèses'!$C$52))),IF(A44&lt;'12-Hypothèses'!$C$53,COS((A44-'12-Hypothèses'!$C$51)*PI()/(2*('12-Hypothèses'!$C$53-'12-Hypothèses'!$C$51))),COS((PI()/2+(A44-'12-Hypothèses'!$C$53)*PI()/(2*(0.0000011-'12-Hypothèses'!$C$53))))))</f>
        <v>0.7392544243589427</v>
      </c>
      <c r="L44" s="1">
        <f t="shared" si="5"/>
        <v>282154604.8324319</v>
      </c>
    </row>
    <row r="45" spans="1:12" ht="12.75">
      <c r="A45" s="1">
        <v>6.9E-07</v>
      </c>
      <c r="B45" s="1">
        <f>2*'12-Hypothèses'!$C$58/(A45^4)/(EXP('12-Hypothèses'!$C$59*'12-Hypothèses'!$C$58/A45/'12-Hypothèses'!$C$60/'12-Hypothèses'!$C$9)-1)</f>
        <v>7.372924208528138E+31</v>
      </c>
      <c r="C45" s="1">
        <f>B45*'12-Hypothèses'!$C$59*'12-Hypothèses'!$C$58/'13-BilanPhotoniqueEtoile'!A45</f>
        <v>21225963404498.21</v>
      </c>
      <c r="D45">
        <v>0.0082</v>
      </c>
      <c r="E45" s="1">
        <f t="shared" si="3"/>
        <v>117137601644063.84</v>
      </c>
      <c r="F45" s="1">
        <f t="shared" si="4"/>
        <v>713372230.5820625</v>
      </c>
      <c r="G45" s="1">
        <v>0.74</v>
      </c>
      <c r="H45" s="1">
        <f>G45^(1/COS((90-'12-Hypothèses'!$C$30)*PI()/180))</f>
        <v>0.74</v>
      </c>
      <c r="I45" s="1">
        <f>'12-Hypothèses'!$C$42</f>
        <v>0.7201949999999999</v>
      </c>
      <c r="J45" s="1">
        <v>1</v>
      </c>
      <c r="K45" s="1">
        <f>('12-Hypothèses'!$C$50/2)+('12-Hypothèses'!$C$50/2)*IF(A45&lt;'12-Hypothèses'!$C$51,COS((A45-'12-Hypothèses'!$C$51)*PI()/(2*('12-Hypothèses'!$C$51-'12-Hypothèses'!$C$52))),IF(A45&lt;'12-Hypothèses'!$C$53,COS((A45-'12-Hypothèses'!$C$51)*PI()/(2*('12-Hypothèses'!$C$53-'12-Hypothèses'!$C$51))),COS((PI()/2+(A45-'12-Hypothèses'!$C$53)*PI()/(2*(0.0000011-'12-Hypothèses'!$C$53))))))</f>
        <v>0.7187213662662538</v>
      </c>
      <c r="L45" s="1">
        <f t="shared" si="5"/>
        <v>273248997.35580677</v>
      </c>
    </row>
    <row r="46" spans="1:12" ht="12.75">
      <c r="A46" s="1">
        <v>7E-07</v>
      </c>
      <c r="B46" s="1">
        <f>2*'12-Hypothèses'!$C$58/(A46^4)/(EXP('12-Hypothèses'!$C$59*'12-Hypothèses'!$C$58/A46/'12-Hypothèses'!$C$60/'12-Hypothèses'!$C$9)-1)</f>
        <v>7.339506560959148E+31</v>
      </c>
      <c r="C46" s="1">
        <f>B46*'12-Hypothèses'!$C$59*'12-Hypothèses'!$C$58/'13-BilanPhotoniqueEtoile'!A46</f>
        <v>20827903430763.83</v>
      </c>
      <c r="D46">
        <v>0.0041</v>
      </c>
      <c r="E46" s="1">
        <f t="shared" si="3"/>
        <v>57470433936506.63</v>
      </c>
      <c r="F46" s="1">
        <f t="shared" si="4"/>
        <v>710138883.6612408</v>
      </c>
      <c r="G46" s="1">
        <v>0.74</v>
      </c>
      <c r="H46" s="1">
        <f>G46^(1/COS((90-'12-Hypothèses'!$C$30)*PI()/180))</f>
        <v>0.74</v>
      </c>
      <c r="I46" s="1">
        <f>'12-Hypothèses'!$C$42</f>
        <v>0.7201949999999999</v>
      </c>
      <c r="J46" s="1">
        <v>1</v>
      </c>
      <c r="K46" s="1">
        <f>('12-Hypothèses'!$C$50/2)+('12-Hypothèses'!$C$50/2)*IF(A46&lt;'12-Hypothèses'!$C$51,COS((A46-'12-Hypothèses'!$C$51)*PI()/(2*('12-Hypothèses'!$C$51-'12-Hypothèses'!$C$52))),IF(A46&lt;'12-Hypothèses'!$C$53,COS((A46-'12-Hypothèses'!$C$51)*PI()/(2*('12-Hypothèses'!$C$53-'12-Hypothèses'!$C$51))),COS((PI()/2+(A46-'12-Hypothèses'!$C$53)*PI()/(2*(0.0000011-'12-Hypothèses'!$C$53))))))</f>
        <v>0.6972790401318627</v>
      </c>
      <c r="L46" s="1">
        <f t="shared" si="5"/>
        <v>263895342.54385358</v>
      </c>
    </row>
    <row r="47" spans="1:12" ht="12.75">
      <c r="A47" s="1">
        <v>7.1E-07</v>
      </c>
      <c r="B47" s="1">
        <f>2*'12-Hypothèses'!$C$58/(A47^4)/(EXP('12-Hypothèses'!$C$59*'12-Hypothèses'!$C$58/A47/'12-Hypothèses'!$C$60/'12-Hypothèses'!$C$9)-1)</f>
        <v>7.301858557718689E+31</v>
      </c>
      <c r="C47" s="1">
        <f>B47*'12-Hypothèses'!$C$59*'12-Hypothèses'!$C$58/'13-BilanPhotoniqueEtoile'!A47</f>
        <v>20429220678123.58</v>
      </c>
      <c r="D47">
        <v>0.0021</v>
      </c>
      <c r="E47" s="1">
        <f t="shared" si="3"/>
        <v>28872617584392.05</v>
      </c>
      <c r="F47" s="1">
        <f t="shared" si="4"/>
        <v>706496225.8379661</v>
      </c>
      <c r="G47" s="1">
        <v>0.74</v>
      </c>
      <c r="H47" s="1">
        <f>G47^(1/COS((90-'12-Hypothèses'!$C$30)*PI()/180))</f>
        <v>0.74</v>
      </c>
      <c r="I47" s="1">
        <f>'12-Hypothèses'!$C$42</f>
        <v>0.7201949999999999</v>
      </c>
      <c r="J47" s="1">
        <v>1</v>
      </c>
      <c r="K47" s="1">
        <f>('12-Hypothèses'!$C$50/2)+('12-Hypothèses'!$C$50/2)*IF(A47&lt;'12-Hypothèses'!$C$51,COS((A47-'12-Hypothèses'!$C$51)*PI()/(2*('12-Hypothèses'!$C$51-'12-Hypothèses'!$C$52))),IF(A47&lt;'12-Hypothèses'!$C$53,COS((A47-'12-Hypothèses'!$C$51)*PI()/(2*('12-Hypothèses'!$C$53-'12-Hypothèses'!$C$51))),COS((PI()/2+(A47-'12-Hypothèses'!$C$53)*PI()/(2*(0.0000011-'12-Hypothèses'!$C$53))))))</f>
        <v>0.675</v>
      </c>
      <c r="L47" s="1">
        <f t="shared" si="5"/>
        <v>254153117.1590033</v>
      </c>
    </row>
    <row r="48" spans="1:12" ht="12.75">
      <c r="A48" s="1">
        <v>7.2E-07</v>
      </c>
      <c r="B48" s="1">
        <f>2*'12-Hypothèses'!$C$58/(A48^4)/(EXP('12-Hypothèses'!$C$59*'12-Hypothèses'!$C$58/A48/'12-Hypothèses'!$C$60/'12-Hypothèses'!$C$9)-1)</f>
        <v>7.260315430831744E+31</v>
      </c>
      <c r="C48" s="1">
        <f>B48*'12-Hypothèses'!$C$59*'12-Hypothèses'!$C$58/'13-BilanPhotoniqueEtoile'!A48</f>
        <v>20030865984958.55</v>
      </c>
      <c r="D48">
        <v>0.00105</v>
      </c>
      <c r="E48" s="1">
        <f t="shared" si="3"/>
        <v>14154811448270.959</v>
      </c>
      <c r="F48" s="1">
        <f t="shared" si="4"/>
        <v>702476692.7118267</v>
      </c>
      <c r="G48" s="1">
        <v>0.74</v>
      </c>
      <c r="H48" s="1">
        <f>G48^(1/COS((90-'12-Hypothèses'!$C$30)*PI()/180))</f>
        <v>0.74</v>
      </c>
      <c r="I48" s="1">
        <f>'12-Hypothèses'!$C$42</f>
        <v>0.7201949999999999</v>
      </c>
      <c r="J48" s="1">
        <v>1</v>
      </c>
      <c r="K48" s="1">
        <f>('12-Hypothèses'!$C$50/2)+('12-Hypothèses'!$C$50/2)*IF(A48&lt;'12-Hypothèses'!$C$51,COS((A48-'12-Hypothèses'!$C$51)*PI()/(2*('12-Hypothèses'!$C$51-'12-Hypothèses'!$C$52))),IF(A48&lt;'12-Hypothèses'!$C$53,COS((A48-'12-Hypothèses'!$C$51)*PI()/(2*('12-Hypothèses'!$C$53-'12-Hypothèses'!$C$51))),COS((PI()/2+(A48-'12-Hypothèses'!$C$53)*PI()/(2*(0.0000011-'12-Hypothèses'!$C$53))))))</f>
        <v>0.651959631090208</v>
      </c>
      <c r="L48" s="1">
        <f t="shared" si="5"/>
        <v>244081265.5691113</v>
      </c>
    </row>
    <row r="49" spans="1:12" ht="12.75">
      <c r="A49" s="1">
        <v>7.3E-07</v>
      </c>
      <c r="B49" s="1">
        <f>2*'12-Hypothèses'!$C$58/(A49^4)/(EXP('12-Hypothèses'!$C$59*'12-Hypothèses'!$C$58/A49/'12-Hypothèses'!$C$60/'12-Hypothèses'!$C$9)-1)</f>
        <v>7.215195619033726E+31</v>
      </c>
      <c r="C49" s="1">
        <f>B49*'12-Hypothèses'!$C$59*'12-Hypothèses'!$C$58/'13-BilanPhotoniqueEtoile'!A49</f>
        <v>19633692391710.473</v>
      </c>
      <c r="D49">
        <v>0.00052</v>
      </c>
      <c r="E49" s="1">
        <f t="shared" si="3"/>
        <v>6871006989402.997</v>
      </c>
      <c r="F49" s="1">
        <f t="shared" si="4"/>
        <v>698111095.0364072</v>
      </c>
      <c r="G49" s="1">
        <v>0.74</v>
      </c>
      <c r="H49" s="1">
        <f>G49^(1/COS((90-'12-Hypothèses'!$C$30)*PI()/180))</f>
        <v>0.74</v>
      </c>
      <c r="I49" s="1">
        <f>'12-Hypothèses'!$C$42</f>
        <v>0.7201949999999999</v>
      </c>
      <c r="J49" s="1">
        <v>1</v>
      </c>
      <c r="K49" s="1">
        <f>('12-Hypothèses'!$C$50/2)+('12-Hypothèses'!$C$50/2)*IF(A49&lt;'12-Hypothèses'!$C$51,COS((A49-'12-Hypothèses'!$C$51)*PI()/(2*('12-Hypothèses'!$C$51-'12-Hypothèses'!$C$52))),IF(A49&lt;'12-Hypothèses'!$C$53,COS((A49-'12-Hypothèses'!$C$51)*PI()/(2*('12-Hypothèses'!$C$53-'12-Hypothèses'!$C$51))),COS((PI()/2+(A49-'12-Hypothèses'!$C$53)*PI()/(2*(0.0000011-'12-Hypothèses'!$C$53))))))</f>
        <v>0.6282358947176205</v>
      </c>
      <c r="L49" s="1">
        <f t="shared" si="5"/>
        <v>233737884.17895386</v>
      </c>
    </row>
    <row r="50" spans="1:12" ht="12.75">
      <c r="A50" s="1">
        <v>7.4E-07</v>
      </c>
      <c r="B50" s="1">
        <f>2*'12-Hypothèses'!$C$58/(A50^4)/(EXP('12-Hypothèses'!$C$59*'12-Hypothèses'!$C$58/A50/'12-Hypothèses'!$C$60/'12-Hypothèses'!$C$9)-1)</f>
        <v>7.166801040130472E+31</v>
      </c>
      <c r="C50" s="1">
        <f>B50*'12-Hypothèses'!$C$59*'12-Hypothèses'!$C$58/'13-BilanPhotoniqueEtoile'!A50</f>
        <v>19238462479970.01</v>
      </c>
      <c r="D50">
        <v>0.00012</v>
      </c>
      <c r="E50" s="1">
        <f t="shared" si="3"/>
        <v>1553698229882.3784</v>
      </c>
      <c r="F50" s="1">
        <f t="shared" si="4"/>
        <v>693428645.0716617</v>
      </c>
      <c r="G50" s="1">
        <v>0.74</v>
      </c>
      <c r="H50" s="1">
        <f>G50^(1/COS((90-'12-Hypothèses'!$C$30)*PI()/180))</f>
        <v>0.74</v>
      </c>
      <c r="I50" s="1">
        <f>'12-Hypothèses'!$C$42</f>
        <v>0.7201949999999999</v>
      </c>
      <c r="J50" s="1">
        <v>1</v>
      </c>
      <c r="K50" s="1">
        <f>('12-Hypothèses'!$C$50/2)+('12-Hypothèses'!$C$50/2)*IF(A50&lt;'12-Hypothèses'!$C$51,COS((A50-'12-Hypothèses'!$C$51)*PI()/(2*('12-Hypothèses'!$C$51-'12-Hypothèses'!$C$52))),IF(A50&lt;'12-Hypothèses'!$C$53,COS((A50-'12-Hypothèses'!$C$51)*PI()/(2*('12-Hypothèses'!$C$53-'12-Hypothèses'!$C$51))),COS((PI()/2+(A50-'12-Hypothèses'!$C$53)*PI()/(2*(0.0000011-'12-Hypothèses'!$C$53))))))</f>
        <v>0.6039090644965509</v>
      </c>
      <c r="L50" s="1">
        <f t="shared" si="5"/>
        <v>223179935.66447037</v>
      </c>
    </row>
    <row r="51" spans="1:12" ht="12.75">
      <c r="A51" s="1">
        <v>7.5E-07</v>
      </c>
      <c r="B51" s="1">
        <f>2*'12-Hypothèses'!$C$58/(A51^4)/(EXP('12-Hypothèses'!$C$59*'12-Hypothèses'!$C$58/A51/'12-Hypothèses'!$C$60/'12-Hypothèses'!$C$9)-1)</f>
        <v>7.115417446129366E+31</v>
      </c>
      <c r="C51" s="1">
        <f>B51*'12-Hypothèses'!$C$59*'12-Hypothèses'!$C$58/'13-BilanPhotoniqueEtoile'!A51</f>
        <v>18845855343665.188</v>
      </c>
      <c r="D51">
        <v>6E-05</v>
      </c>
      <c r="E51" s="1">
        <f t="shared" si="3"/>
        <v>760995638777.2002</v>
      </c>
      <c r="F51" s="1">
        <f t="shared" si="4"/>
        <v>688456990.9448645</v>
      </c>
      <c r="G51" s="1">
        <v>0.76</v>
      </c>
      <c r="H51" s="1">
        <f>G51^(1/COS((90-'12-Hypothèses'!$C$30)*PI()/180))</f>
        <v>0.76</v>
      </c>
      <c r="I51" s="1">
        <f>'12-Hypothèses'!$C$42</f>
        <v>0.7201949999999999</v>
      </c>
      <c r="J51" s="1">
        <v>1</v>
      </c>
      <c r="K51" s="1">
        <f>('12-Hypothèses'!$C$50/2)+('12-Hypothèses'!$C$50/2)*IF(A51&lt;'12-Hypothèses'!$C$51,COS((A51-'12-Hypothèses'!$C$51)*PI()/(2*('12-Hypothèses'!$C$51-'12-Hypothèses'!$C$52))),IF(A51&lt;'12-Hypothèses'!$C$53,COS((A51-'12-Hypothèses'!$C$51)*PI()/(2*('12-Hypothèses'!$C$53-'12-Hypothèses'!$C$51))),COS((PI()/2+(A51-'12-Hypothèses'!$C$53)*PI()/(2*(0.0000011-'12-Hypothèses'!$C$53))))))</f>
        <v>0.5790614547199906</v>
      </c>
      <c r="L51" s="1">
        <f t="shared" si="5"/>
        <v>218205234.99001727</v>
      </c>
    </row>
    <row r="52" spans="1:12" ht="12.75">
      <c r="A52" s="1">
        <v>7.6E-07</v>
      </c>
      <c r="B52" s="1">
        <f>2*'12-Hypothèses'!$C$58/(A52^4)/(EXP('12-Hypothèses'!$C$59*'12-Hypothèses'!$C$58/A52/'12-Hypothèses'!$C$60/'12-Hypothèses'!$C$9)-1)</f>
        <v>7.061314844285819E+31</v>
      </c>
      <c r="C52" s="1">
        <f>B52*'12-Hypothèses'!$C$59*'12-Hypothèses'!$C$58/'13-BilanPhotoniqueEtoile'!A52</f>
        <v>18456473182178.676</v>
      </c>
      <c r="E52" s="1">
        <f t="shared" si="3"/>
        <v>0</v>
      </c>
      <c r="F52" s="1">
        <f t="shared" si="4"/>
        <v>683222257.3892446</v>
      </c>
      <c r="G52" s="1">
        <v>0.77</v>
      </c>
      <c r="H52" s="1">
        <f>G52^(1/COS((90-'12-Hypothèses'!$C$30)*PI()/180))</f>
        <v>0.77</v>
      </c>
      <c r="I52" s="1">
        <f>'12-Hypothèses'!$C$42</f>
        <v>0.7201949999999999</v>
      </c>
      <c r="J52" s="1">
        <v>1</v>
      </c>
      <c r="K52" s="1">
        <f>('12-Hypothèses'!$C$50/2)+('12-Hypothèses'!$C$50/2)*IF(A52&lt;'12-Hypothèses'!$C$51,COS((A52-'12-Hypothèses'!$C$51)*PI()/(2*('12-Hypothèses'!$C$51-'12-Hypothèses'!$C$52))),IF(A52&lt;'12-Hypothèses'!$C$53,COS((A52-'12-Hypothèses'!$C$51)*PI()/(2*('12-Hypothèses'!$C$53-'12-Hypothèses'!$C$51))),COS((PI()/2+(A52-'12-Hypothèses'!$C$53)*PI()/(2*(0.0000011-'12-Hypothèses'!$C$53))))))</f>
        <v>0.553777141834098</v>
      </c>
      <c r="L52" s="1">
        <f t="shared" si="5"/>
        <v>209815640.22053304</v>
      </c>
    </row>
    <row r="53" spans="1:12" ht="12.75">
      <c r="A53" s="1">
        <v>7.70000000000001E-07</v>
      </c>
      <c r="B53" s="1">
        <f>2*'12-Hypothèses'!$C$58/(A53^4)/(EXP('12-Hypothèses'!$C$59*'12-Hypothèses'!$C$58/A53/'12-Hypothèses'!$C$60/'12-Hypothèses'!$C$9)-1)</f>
        <v>7.004747969510259E+31</v>
      </c>
      <c r="C53" s="1">
        <f>B53*'12-Hypothèses'!$C$59*'12-Hypothèses'!$C$58/'13-BilanPhotoniqueEtoile'!A53</f>
        <v>18070847512215.594</v>
      </c>
      <c r="E53" s="1">
        <f t="shared" si="3"/>
        <v>0</v>
      </c>
      <c r="F53" s="1">
        <f t="shared" si="4"/>
        <v>677749091.4520414</v>
      </c>
      <c r="G53" s="1">
        <v>0.775</v>
      </c>
      <c r="H53" s="1">
        <f>G53^(1/COS((90-'12-Hypothèses'!$C$30)*PI()/180))</f>
        <v>0.775</v>
      </c>
      <c r="I53" s="1">
        <f>'12-Hypothèses'!$C$42</f>
        <v>0.7201949999999999</v>
      </c>
      <c r="J53" s="1">
        <v>1</v>
      </c>
      <c r="K53" s="1">
        <f>('12-Hypothèses'!$C$50/2)+('12-Hypothèses'!$C$50/2)*IF(A53&lt;'12-Hypothèses'!$C$51,COS((A53-'12-Hypothèses'!$C$51)*PI()/(2*('12-Hypothèses'!$C$51-'12-Hypothèses'!$C$52))),IF(A53&lt;'12-Hypothèses'!$C$53,COS((A53-'12-Hypothèses'!$C$51)*PI()/(2*('12-Hypothèses'!$C$53-'12-Hypothèses'!$C$51))),COS((PI()/2+(A53-'12-Hypothèses'!$C$53)*PI()/(2*(0.0000011-'12-Hypothèses'!$C$53))))))</f>
        <v>0.5281416799501161</v>
      </c>
      <c r="L53" s="1">
        <f t="shared" si="5"/>
        <v>199788824.2317818</v>
      </c>
    </row>
    <row r="54" spans="1:12" ht="12.75">
      <c r="A54" s="1">
        <v>7.80000000000001E-07</v>
      </c>
      <c r="B54" s="1">
        <f>2*'12-Hypothèses'!$C$58/(A54^4)/(EXP('12-Hypothèses'!$C$59*'12-Hypothèses'!$C$58/A54/'12-Hypothèses'!$C$60/'12-Hypothèses'!$C$9)-1)</f>
        <v>6.945956795627258E+31</v>
      </c>
      <c r="C54" s="1">
        <f>B54*'12-Hypothèses'!$C$59*'12-Hypothèses'!$C$58/'13-BilanPhotoniqueEtoile'!A54</f>
        <v>17689445000781.023</v>
      </c>
      <c r="E54" s="1">
        <f t="shared" si="3"/>
        <v>0</v>
      </c>
      <c r="F54" s="1">
        <f t="shared" si="4"/>
        <v>672060711.9617242</v>
      </c>
      <c r="G54" s="1">
        <v>0.775</v>
      </c>
      <c r="H54" s="1">
        <f>G54^(1/COS((90-'12-Hypothèses'!$C$30)*PI()/180))</f>
        <v>0.775</v>
      </c>
      <c r="I54" s="1">
        <f>'12-Hypothèses'!$C$42</f>
        <v>0.7201949999999999</v>
      </c>
      <c r="J54" s="1">
        <v>1</v>
      </c>
      <c r="K54" s="1">
        <f>('12-Hypothèses'!$C$50/2)+('12-Hypothèses'!$C$50/2)*IF(A54&lt;'12-Hypothèses'!$C$51,COS((A54-'12-Hypothèses'!$C$51)*PI()/(2*('12-Hypothèses'!$C$51-'12-Hypothèses'!$C$52))),IF(A54&lt;'12-Hypothèses'!$C$53,COS((A54-'12-Hypothèses'!$C$51)*PI()/(2*('12-Hypothèses'!$C$53-'12-Hypothèses'!$C$51))),COS((PI()/2+(A54-'12-Hypothèses'!$C$53)*PI()/(2*(0.0000011-'12-Hypothèses'!$C$53))))))</f>
        <v>0.5022418113563509</v>
      </c>
      <c r="L54" s="1">
        <f t="shared" si="5"/>
        <v>188396650.31644964</v>
      </c>
    </row>
    <row r="55" spans="1:12" ht="12.75">
      <c r="A55" s="1">
        <v>7.90000000000001E-07</v>
      </c>
      <c r="B55" s="1">
        <f>2*'12-Hypothèses'!$C$58/(A55^4)/(EXP('12-Hypothèses'!$C$59*'12-Hypothèses'!$C$58/A55/'12-Hypothèses'!$C$60/'12-Hypothèses'!$C$9)-1)</f>
        <v>6.885167074790789E+31</v>
      </c>
      <c r="C55" s="1">
        <f>B55*'12-Hypothèses'!$C$59*'12-Hypothèses'!$C$58/'13-BilanPhotoniqueEtoile'!A55</f>
        <v>17312672925944.75</v>
      </c>
      <c r="E55" s="1">
        <f t="shared" si="3"/>
        <v>0</v>
      </c>
      <c r="F55" s="1">
        <f t="shared" si="4"/>
        <v>666178961.719478</v>
      </c>
      <c r="G55" s="1">
        <v>0.78</v>
      </c>
      <c r="H55" s="1">
        <f>G55^(1/COS((90-'12-Hypothèses'!$C$30)*PI()/180))</f>
        <v>0.78</v>
      </c>
      <c r="I55" s="1">
        <f>'12-Hypothèses'!$C$42</f>
        <v>0.7201949999999999</v>
      </c>
      <c r="J55" s="1">
        <v>1</v>
      </c>
      <c r="K55" s="1">
        <f>('12-Hypothèses'!$C$50/2)+('12-Hypothèses'!$C$50/2)*IF(A55&lt;'12-Hypothèses'!$C$51,COS((A55-'12-Hypothèses'!$C$51)*PI()/(2*('12-Hypothèses'!$C$51-'12-Hypothèses'!$C$52))),IF(A55&lt;'12-Hypothèses'!$C$53,COS((A55-'12-Hypothèses'!$C$51)*PI()/(2*('12-Hypothèses'!$C$53-'12-Hypothèses'!$C$51))),COS((PI()/2+(A55-'12-Hypothèses'!$C$53)*PI()/(2*(0.0000011-'12-Hypothèses'!$C$53))))))</f>
        <v>0.47616517300971145</v>
      </c>
      <c r="L55" s="1">
        <f t="shared" si="5"/>
        <v>178194069.29459542</v>
      </c>
    </row>
    <row r="56" spans="1:12" ht="12.75">
      <c r="A56" s="1">
        <v>8.00000000000001E-07</v>
      </c>
      <c r="B56" s="1">
        <f>2*'12-Hypothèses'!$C$58/(A56^4)/(EXP('12-Hypothèses'!$C$59*'12-Hypothèses'!$C$58/A56/'12-Hypothèses'!$C$60/'12-Hypothèses'!$C$9)-1)</f>
        <v>6.822590895959501E+31</v>
      </c>
      <c r="C56" s="1">
        <f>B56*'12-Hypothèses'!$C$59*'12-Hypothèses'!$C$58/'13-BilanPhotoniqueEtoile'!A56</f>
        <v>16940884275375.914</v>
      </c>
      <c r="E56" s="1">
        <f t="shared" si="3"/>
        <v>0</v>
      </c>
      <c r="F56" s="1">
        <f t="shared" si="4"/>
        <v>660124361.5348535</v>
      </c>
      <c r="G56" s="1">
        <v>0.78</v>
      </c>
      <c r="H56" s="1">
        <f>G56^(1/COS((90-'12-Hypothèses'!$C$30)*PI()/180))</f>
        <v>0.78</v>
      </c>
      <c r="I56" s="1">
        <f>'12-Hypothèses'!$C$42</f>
        <v>0.7201949999999999</v>
      </c>
      <c r="J56" s="1">
        <v>1</v>
      </c>
      <c r="K56" s="1">
        <f>('12-Hypothèses'!$C$50/2)+('12-Hypothèses'!$C$50/2)*IF(A56&lt;'12-Hypothèses'!$C$51,COS((A56-'12-Hypothèses'!$C$51)*PI()/(2*('12-Hypothèses'!$C$51-'12-Hypothèses'!$C$52))),IF(A56&lt;'12-Hypothèses'!$C$53,COS((A56-'12-Hypothèses'!$C$51)*PI()/(2*('12-Hypothèses'!$C$53-'12-Hypothèses'!$C$51))),COS((PI()/2+(A56-'12-Hypothèses'!$C$53)*PI()/(2*(0.0000011-'12-Hypothèses'!$C$53))))))</f>
        <v>0.4499999999999975</v>
      </c>
      <c r="L56" s="1">
        <f t="shared" si="5"/>
        <v>166871810.85901248</v>
      </c>
    </row>
    <row r="57" spans="1:12" ht="12.75">
      <c r="A57" s="1">
        <v>8.10000000000001E-07</v>
      </c>
      <c r="B57" s="1">
        <f>2*'12-Hypothèses'!$C$58/(A57^4)/(EXP('12-Hypothèses'!$C$59*'12-Hypothèses'!$C$58/A57/'12-Hypothèses'!$C$60/'12-Hypothèses'!$C$9)-1)</f>
        <v>6.75842725474162E+31</v>
      </c>
      <c r="C57" s="1">
        <f>B57*'12-Hypothèses'!$C$59*'12-Hypothèses'!$C$58/'13-BilanPhotoniqueEtoile'!A57</f>
        <v>16574382495091.21</v>
      </c>
      <c r="E57" s="1">
        <f t="shared" si="3"/>
        <v>0</v>
      </c>
      <c r="F57" s="1">
        <f t="shared" si="4"/>
        <v>653916165.3614922</v>
      </c>
      <c r="G57" s="1">
        <v>0.77</v>
      </c>
      <c r="H57" s="1">
        <f>G57^(1/COS((90-'12-Hypothèses'!$C$30)*PI()/180))</f>
        <v>0.77</v>
      </c>
      <c r="I57" s="1">
        <f>'12-Hypothèses'!$C$42</f>
        <v>0.7201949999999999</v>
      </c>
      <c r="J57" s="1">
        <v>1</v>
      </c>
      <c r="K57" s="1">
        <f>('12-Hypothèses'!$C$50/2)+('12-Hypothèses'!$C$50/2)*IF(A57&lt;'12-Hypothèses'!$C$51,COS((A57-'12-Hypothèses'!$C$51)*PI()/(2*('12-Hypothèses'!$C$51-'12-Hypothèses'!$C$52))),IF(A57&lt;'12-Hypothèses'!$C$53,COS((A57-'12-Hypothèses'!$C$51)*PI()/(2*('12-Hypothèses'!$C$53-'12-Hypothèses'!$C$51))),COS((PI()/2+(A57-'12-Hypothèses'!$C$53)*PI()/(2*(0.0000011-'12-Hypothèses'!$C$53))))))</f>
        <v>0.4264488196906728</v>
      </c>
      <c r="L57" s="1">
        <f t="shared" si="5"/>
        <v>154642840.20642158</v>
      </c>
    </row>
    <row r="58" spans="1:12" ht="12.75">
      <c r="A58" s="1">
        <v>8.20000000000001E-07</v>
      </c>
      <c r="B58" s="1">
        <f>2*'12-Hypothèses'!$C$58/(A58^4)/(EXP('12-Hypothèses'!$C$59*'12-Hypothèses'!$C$58/A58/'12-Hypothèses'!$C$60/'12-Hypothèses'!$C$9)-1)</f>
        <v>6.692862628151494E+31</v>
      </c>
      <c r="C58" s="1">
        <f>B58*'12-Hypothèses'!$C$59*'12-Hypothèses'!$C$58/'13-BilanPhotoniqueEtoile'!A58</f>
        <v>16213425902632.205</v>
      </c>
      <c r="E58" s="1">
        <f t="shared" si="3"/>
        <v>0</v>
      </c>
      <c r="F58" s="1">
        <f t="shared" si="4"/>
        <v>647572415.908083</v>
      </c>
      <c r="G58" s="1">
        <v>0.76</v>
      </c>
      <c r="H58" s="1">
        <f>G58^(1/COS((90-'12-Hypothèses'!$C$30)*PI()/180))</f>
        <v>0.76</v>
      </c>
      <c r="I58" s="1">
        <f>'12-Hypothèses'!$C$42</f>
        <v>0.7201949999999999</v>
      </c>
      <c r="J58" s="1">
        <v>1</v>
      </c>
      <c r="K58" s="1">
        <f>('12-Hypothèses'!$C$50/2)+('12-Hypothèses'!$C$50/2)*IF(A58&lt;'12-Hypothèses'!$C$51,COS((A58-'12-Hypothèses'!$C$51)*PI()/(2*('12-Hypothèses'!$C$51-'12-Hypothèses'!$C$52))),IF(A58&lt;'12-Hypothèses'!$C$53,COS((A58-'12-Hypothèses'!$C$51)*PI()/(2*('12-Hypothèses'!$C$53-'12-Hypothèses'!$C$51))),COS((PI()/2+(A58-'12-Hypothèses'!$C$53)*PI()/(2*(0.0000011-'12-Hypothèses'!$C$53))))))</f>
        <v>0.4029621915295534</v>
      </c>
      <c r="L58" s="1">
        <f t="shared" si="5"/>
        <v>142828980.15396062</v>
      </c>
    </row>
    <row r="59" spans="1:12" ht="12.75">
      <c r="A59" s="1">
        <v>8.30000000000001E-07</v>
      </c>
      <c r="B59" s="1">
        <f>2*'12-Hypothèses'!$C$58/(A59^4)/(EXP('12-Hypothèses'!$C$59*'12-Hypothèses'!$C$58/A59/'12-Hypothèses'!$C$60/'12-Hypothèses'!$C$9)-1)</f>
        <v>6.626071548895154E+31</v>
      </c>
      <c r="C59" s="1">
        <f>B59*'12-Hypothèses'!$C$59*'12-Hypothèses'!$C$58/'13-BilanPhotoniqueEtoile'!A59</f>
        <v>15858231780090.54</v>
      </c>
      <c r="E59" s="1">
        <f t="shared" si="3"/>
        <v>0</v>
      </c>
      <c r="F59" s="1">
        <f t="shared" si="4"/>
        <v>641110000.203746</v>
      </c>
      <c r="G59" s="1">
        <v>0.75</v>
      </c>
      <c r="H59" s="1">
        <f>G59^(1/COS((90-'12-Hypothèses'!$C$30)*PI()/180))</f>
        <v>0.75</v>
      </c>
      <c r="I59" s="1">
        <f>'12-Hypothèses'!$C$42</f>
        <v>0.7201949999999999</v>
      </c>
      <c r="J59" s="1">
        <v>1</v>
      </c>
      <c r="K59" s="1">
        <f>('12-Hypothèses'!$C$50/2)+('12-Hypothèses'!$C$50/2)*IF(A59&lt;'12-Hypothèses'!$C$51,COS((A59-'12-Hypothèses'!$C$51)*PI()/(2*('12-Hypothèses'!$C$51-'12-Hypothèses'!$C$52))),IF(A59&lt;'12-Hypothèses'!$C$53,COS((A59-'12-Hypothèses'!$C$51)*PI()/(2*('12-Hypothèses'!$C$53-'12-Hypothèses'!$C$51))),COS((PI()/2+(A59-'12-Hypothèses'!$C$53)*PI()/(2*(0.0000011-'12-Hypothèses'!$C$53))))))</f>
        <v>0.3796044907318939</v>
      </c>
      <c r="L59" s="1">
        <f t="shared" si="5"/>
        <v>131454439.57484022</v>
      </c>
    </row>
    <row r="60" spans="1:12" ht="12.75">
      <c r="A60" s="1">
        <v>8.40000000000001E-07</v>
      </c>
      <c r="B60" s="1">
        <f>2*'12-Hypothèses'!$C$58/(A60^4)/(EXP('12-Hypothèses'!$C$59*'12-Hypothèses'!$C$58/A60/'12-Hypothèses'!$C$60/'12-Hypothèses'!$C$9)-1)</f>
        <v>6.558217174738469E+31</v>
      </c>
      <c r="C60" s="1">
        <f>B60*'12-Hypothèses'!$C$59*'12-Hypothèses'!$C$58/'13-BilanPhotoniqueEtoile'!A60</f>
        <v>15508980163145.438</v>
      </c>
      <c r="E60" s="1">
        <f t="shared" si="3"/>
        <v>0</v>
      </c>
      <c r="F60" s="1">
        <f t="shared" si="4"/>
        <v>634544704.6876311</v>
      </c>
      <c r="G60" s="1">
        <v>0.78</v>
      </c>
      <c r="H60" s="1">
        <f>G60^(1/COS((90-'12-Hypothèses'!$C$30)*PI()/180))</f>
        <v>0.78</v>
      </c>
      <c r="I60" s="1">
        <f>'12-Hypothèses'!$C$42</f>
        <v>0.7201949999999999</v>
      </c>
      <c r="J60" s="1">
        <v>1</v>
      </c>
      <c r="K60" s="1">
        <f>('12-Hypothèses'!$C$50/2)+('12-Hypothèses'!$C$50/2)*IF(A60&lt;'12-Hypothèses'!$C$51,COS((A60-'12-Hypothèses'!$C$51)*PI()/(2*('12-Hypothèses'!$C$51-'12-Hypothèses'!$C$52))),IF(A60&lt;'12-Hypothèses'!$C$53,COS((A60-'12-Hypothèses'!$C$51)*PI()/(2*('12-Hypothèses'!$C$53-'12-Hypothèses'!$C$51))),COS((PI()/2+(A60-'12-Hypothèses'!$C$53)*PI()/(2*(0.0000011-'12-Hypothèses'!$C$53))))))</f>
        <v>0.35643973913200605</v>
      </c>
      <c r="L60" s="1">
        <f t="shared" si="5"/>
        <v>127055376.07596903</v>
      </c>
    </row>
    <row r="61" spans="1:12" ht="12.75">
      <c r="A61" s="1">
        <v>8.50000000000001E-07</v>
      </c>
      <c r="B61" s="1">
        <f>2*'12-Hypothèses'!$C$58/(A61^4)/(EXP('12-Hypothèses'!$C$59*'12-Hypothèses'!$C$58/A61/'12-Hypothèses'!$C$60/'12-Hypothèses'!$C$9)-1)</f>
        <v>6.489451849322948E+31</v>
      </c>
      <c r="C61" s="1">
        <f>B61*'12-Hypothèses'!$C$59*'12-Hypothèses'!$C$58/'13-BilanPhotoniqueEtoile'!A61</f>
        <v>15165817342652.953</v>
      </c>
      <c r="E61" s="1">
        <f t="shared" si="3"/>
        <v>0</v>
      </c>
      <c r="F61" s="1">
        <f t="shared" si="4"/>
        <v>627891269.4710274</v>
      </c>
      <c r="G61" s="1">
        <v>0.78</v>
      </c>
      <c r="H61" s="1">
        <f>G61^(1/COS((90-'12-Hypothèses'!$C$30)*PI()/180))</f>
        <v>0.78</v>
      </c>
      <c r="I61" s="1">
        <f>'12-Hypothèses'!$C$42</f>
        <v>0.7201949999999999</v>
      </c>
      <c r="J61" s="1">
        <v>1</v>
      </c>
      <c r="K61" s="1">
        <f>('12-Hypothèses'!$C$50/2)+('12-Hypothèses'!$C$50/2)*IF(A61&lt;'12-Hypothèses'!$C$51,COS((A61-'12-Hypothèses'!$C$51)*PI()/(2*('12-Hypothèses'!$C$51-'12-Hypothèses'!$C$52))),IF(A61&lt;'12-Hypothèses'!$C$53,COS((A61-'12-Hypothèses'!$C$51)*PI()/(2*('12-Hypothèses'!$C$53-'12-Hypothèses'!$C$51))),COS((PI()/2+(A61-'12-Hypothèses'!$C$53)*PI()/(2*(0.0000011-'12-Hypothèses'!$C$53))))))</f>
        <v>0.3335314297038634</v>
      </c>
      <c r="L61" s="1">
        <f t="shared" si="5"/>
        <v>117642952.13343954</v>
      </c>
    </row>
    <row r="62" spans="1:12" ht="12.75">
      <c r="A62" s="1">
        <v>8.60000000000001E-07</v>
      </c>
      <c r="B62" s="1">
        <f>2*'12-Hypothèses'!$C$58/(A62^4)/(EXP('12-Hypothèses'!$C$59*'12-Hypothèses'!$C$58/A62/'12-Hypothèses'!$C$60/'12-Hypothèses'!$C$9)-1)</f>
        <v>6.419917651495604E+31</v>
      </c>
      <c r="C62" s="1">
        <f>B62*'12-Hypothèses'!$C$59*'12-Hypothèses'!$C$58/'13-BilanPhotoniqueEtoile'!A62</f>
        <v>14828859095407.799</v>
      </c>
      <c r="E62" s="1">
        <f t="shared" si="3"/>
        <v>0</v>
      </c>
      <c r="F62" s="1">
        <f t="shared" si="4"/>
        <v>621163441.4881421</v>
      </c>
      <c r="G62" s="1">
        <v>0.79</v>
      </c>
      <c r="H62" s="1">
        <f>G62^(1/COS((90-'12-Hypothèses'!$C$30)*PI()/180))</f>
        <v>0.79</v>
      </c>
      <c r="I62" s="1">
        <f>'12-Hypothèses'!$C$42</f>
        <v>0.7201949999999999</v>
      </c>
      <c r="J62" s="1">
        <v>1</v>
      </c>
      <c r="K62" s="1">
        <f>('12-Hypothèses'!$C$50/2)+('12-Hypothèses'!$C$50/2)*IF(A62&lt;'12-Hypothèses'!$C$51,COS((A62-'12-Hypothèses'!$C$51)*PI()/(2*('12-Hypothèses'!$C$51-'12-Hypothèses'!$C$52))),IF(A62&lt;'12-Hypothèses'!$C$53,COS((A62-'12-Hypothèses'!$C$51)*PI()/(2*('12-Hypothèses'!$C$53-'12-Hypothèses'!$C$51))),COS((PI()/2+(A62-'12-Hypothèses'!$C$53)*PI()/(2*(0.0000011-'12-Hypothèses'!$C$53))))))</f>
        <v>0.3109423525312714</v>
      </c>
      <c r="L62" s="1">
        <f t="shared" si="5"/>
        <v>109891211.34605931</v>
      </c>
    </row>
    <row r="63" spans="1:12" ht="12.75">
      <c r="A63" s="1">
        <v>8.70000000000001E-07</v>
      </c>
      <c r="B63" s="1">
        <f>2*'12-Hypothèses'!$C$58/(A63^4)/(EXP('12-Hypothèses'!$C$59*'12-Hypothèses'!$C$58/A63/'12-Hypothèses'!$C$60/'12-Hypothèses'!$C$9)-1)</f>
        <v>6.349746930823229E+31</v>
      </c>
      <c r="C63" s="1">
        <f>B63*'12-Hypothèses'!$C$59*'12-Hypothèses'!$C$58/'13-BilanPhotoniqueEtoile'!A63</f>
        <v>14498193660549.328</v>
      </c>
      <c r="E63" s="1">
        <f t="shared" si="3"/>
        <v>0</v>
      </c>
      <c r="F63" s="1">
        <f t="shared" si="4"/>
        <v>614374026.3101451</v>
      </c>
      <c r="G63" s="1">
        <v>0.8</v>
      </c>
      <c r="H63" s="1">
        <f>G63^(1/COS((90-'12-Hypothèses'!$C$30)*PI()/180))</f>
        <v>0.8</v>
      </c>
      <c r="I63" s="1">
        <f>'12-Hypothèses'!$C$42</f>
        <v>0.7201949999999999</v>
      </c>
      <c r="J63" s="1">
        <v>1</v>
      </c>
      <c r="K63" s="1">
        <f>('12-Hypothèses'!$C$50/2)+('12-Hypothèses'!$C$50/2)*IF(A63&lt;'12-Hypothèses'!$C$51,COS((A63-'12-Hypothèses'!$C$51)*PI()/(2*('12-Hypothèses'!$C$51-'12-Hypothèses'!$C$52))),IF(A63&lt;'12-Hypothèses'!$C$53,COS((A63-'12-Hypothèses'!$C$51)*PI()/(2*('12-Hypothèses'!$C$53-'12-Hypothèses'!$C$51))),COS((PI()/2+(A63-'12-Hypothèses'!$C$53)*PI()/(2*(0.0000011-'12-Hypothèses'!$C$53))))))</f>
        <v>0.28873442270461275</v>
      </c>
      <c r="L63" s="1">
        <f t="shared" si="5"/>
        <v>102204848.55639872</v>
      </c>
    </row>
    <row r="64" spans="1:12" ht="12.75">
      <c r="A64" s="1">
        <v>8.80000000000001E-07</v>
      </c>
      <c r="B64" s="1">
        <f>2*'12-Hypothèses'!$C$58/(A64^4)/(EXP('12-Hypothèses'!$C$59*'12-Hypothèses'!$C$58/A64/'12-Hypothèses'!$C$60/'12-Hypothèses'!$C$9)-1)</f>
        <v>6.279062827479075E+31</v>
      </c>
      <c r="C64" s="1">
        <f>B64*'12-Hypothèses'!$C$59*'12-Hypothèses'!$C$58/'13-BilanPhotoniqueEtoile'!A64</f>
        <v>14173884477754.129</v>
      </c>
      <c r="E64" s="1">
        <f t="shared" si="3"/>
        <v>0</v>
      </c>
      <c r="F64" s="1">
        <f t="shared" si="4"/>
        <v>607534938.4471521</v>
      </c>
      <c r="G64" s="1">
        <v>0.81</v>
      </c>
      <c r="H64" s="1">
        <f>G64^(1/COS((90-'12-Hypothèses'!$C$30)*PI()/180))</f>
        <v>0.81</v>
      </c>
      <c r="I64" s="1">
        <f>'12-Hypothèses'!$C$42</f>
        <v>0.7201949999999999</v>
      </c>
      <c r="J64" s="1">
        <v>1</v>
      </c>
      <c r="K64" s="1">
        <f>('12-Hypothèses'!$C$50/2)+('12-Hypothèses'!$C$50/2)*IF(A64&lt;'12-Hypothèses'!$C$51,COS((A64-'12-Hypothèses'!$C$51)*PI()/(2*('12-Hypothèses'!$C$51-'12-Hypothèses'!$C$52))),IF(A64&lt;'12-Hypothèses'!$C$53,COS((A64-'12-Hypothèses'!$C$51)*PI()/(2*('12-Hypothèses'!$C$53-'12-Hypothèses'!$C$51))),COS((PI()/2+(A64-'12-Hypothèses'!$C$53)*PI()/(2*(0.0000011-'12-Hypothèses'!$C$53))))))</f>
        <v>0.2669685106158878</v>
      </c>
      <c r="L64" s="1">
        <f t="shared" si="5"/>
        <v>94616399.61444573</v>
      </c>
    </row>
    <row r="65" spans="1:12" ht="12.75">
      <c r="A65" s="1">
        <v>8.90000000000001E-07</v>
      </c>
      <c r="B65" s="1">
        <f>2*'12-Hypothèses'!$C$58/(A65^4)/(EXP('12-Hypothèses'!$C$59*'12-Hypothèses'!$C$58/A65/'12-Hypothèses'!$C$60/'12-Hypothèses'!$C$9)-1)</f>
        <v>6.207979775132504E+31</v>
      </c>
      <c r="C65" s="1">
        <f>B65*'12-Hypothèses'!$C$59*'12-Hypothèses'!$C$58/'13-BilanPhotoniqueEtoile'!A65</f>
        <v>13855972702894.705</v>
      </c>
      <c r="E65" s="1">
        <f t="shared" si="3"/>
        <v>0</v>
      </c>
      <c r="F65" s="1">
        <f t="shared" si="4"/>
        <v>600657250.0056514</v>
      </c>
      <c r="G65" s="1">
        <v>0.815</v>
      </c>
      <c r="H65" s="1">
        <f>G65^(1/COS((90-'12-Hypothèses'!$C$30)*PI()/180))</f>
        <v>0.815</v>
      </c>
      <c r="I65" s="1">
        <f>'12-Hypothèses'!$C$42</f>
        <v>0.7201949999999999</v>
      </c>
      <c r="J65" s="1">
        <v>1</v>
      </c>
      <c r="K65" s="1">
        <f>('12-Hypothèses'!$C$50/2)+('12-Hypothèses'!$C$50/2)*IF(A65&lt;'12-Hypothèses'!$C$51,COS((A65-'12-Hypothèses'!$C$51)*PI()/(2*('12-Hypothèses'!$C$51-'12-Hypothèses'!$C$52))),IF(A65&lt;'12-Hypothèses'!$C$53,COS((A65-'12-Hypothèses'!$C$51)*PI()/(2*('12-Hypothèses'!$C$53-'12-Hypothèses'!$C$51))),COS((PI()/2+(A65-'12-Hypothèses'!$C$53)*PI()/(2*(0.0000011-'12-Hypothèses'!$C$53))))))</f>
        <v>0.24570427511720186</v>
      </c>
      <c r="L65" s="1">
        <f t="shared" si="5"/>
        <v>86625777.80420683</v>
      </c>
    </row>
    <row r="66" spans="1:12" ht="12.75">
      <c r="A66" s="1">
        <v>9.00000000000001E-07</v>
      </c>
      <c r="B66" s="1">
        <f>2*'12-Hypothèses'!$C$58/(A66^4)/(EXP('12-Hypothèses'!$C$59*'12-Hypothèses'!$C$58/A66/'12-Hypothèses'!$C$60/'12-Hypothèses'!$C$9)-1)</f>
        <v>6.13660398584814E+31</v>
      </c>
      <c r="C66" s="1">
        <f>B66*'12-Hypothèses'!$C$59*'12-Hypothèses'!$C$58/'13-BilanPhotoniqueEtoile'!A66</f>
        <v>13544479516279.584</v>
      </c>
      <c r="E66" s="1">
        <f t="shared" si="3"/>
        <v>0</v>
      </c>
      <c r="F66" s="1">
        <f t="shared" si="4"/>
        <v>593751237.6052463</v>
      </c>
      <c r="G66" s="1">
        <v>0.82</v>
      </c>
      <c r="H66" s="1">
        <f>G66^(1/COS((90-'12-Hypothèses'!$C$30)*PI()/180))</f>
        <v>0.82</v>
      </c>
      <c r="I66" s="1">
        <f>'12-Hypothèses'!$C$42</f>
        <v>0.7201949999999999</v>
      </c>
      <c r="J66" s="1">
        <v>1</v>
      </c>
      <c r="K66" s="1">
        <f>('12-Hypothèses'!$C$50/2)+('12-Hypothèses'!$C$50/2)*IF(A66&lt;'12-Hypothèses'!$C$51,COS((A66-'12-Hypothèses'!$C$51)*PI()/(2*('12-Hypothèses'!$C$51-'12-Hypothèses'!$C$52))),IF(A66&lt;'12-Hypothèses'!$C$53,COS((A66-'12-Hypothèses'!$C$51)*PI()/(2*('12-Hypothèses'!$C$53-'12-Hypothèses'!$C$51))),COS((PI()/2+(A66-'12-Hypothèses'!$C$53)*PI()/(2*(0.0000011-'12-Hypothèses'!$C$53))))))</f>
        <v>0.224999999999998</v>
      </c>
      <c r="L66" s="1">
        <f t="shared" si="5"/>
        <v>78895276.08863115</v>
      </c>
    </row>
    <row r="67" spans="1:12" ht="12.75">
      <c r="A67" s="1">
        <v>9.10000000000001E-07</v>
      </c>
      <c r="B67" s="1">
        <f>2*'12-Hypothèses'!$C$58/(A67^4)/(EXP('12-Hypothèses'!$C$59*'12-Hypothèses'!$C$58/A67/'12-Hypothèses'!$C$60/'12-Hypothèses'!$C$9)-1)</f>
        <v>6.065033916319311E+31</v>
      </c>
      <c r="C67" s="1">
        <f>B67*'12-Hypothèses'!$C$59*'12-Hypothèses'!$C$58/'13-BilanPhotoniqueEtoile'!A67</f>
        <v>13239408237956.29</v>
      </c>
      <c r="E67" s="1">
        <f aca="true" t="shared" si="6" ref="E67:E98">C67*D67*673</f>
        <v>0</v>
      </c>
      <c r="F67" s="1">
        <f aca="true" t="shared" si="7" ref="F67:F86">B67*$E$93</f>
        <v>586826427.489385</v>
      </c>
      <c r="G67" s="1">
        <v>0.78</v>
      </c>
      <c r="H67" s="1">
        <f>G67^(1/COS((90-'12-Hypothèses'!$C$30)*PI()/180))</f>
        <v>0.78</v>
      </c>
      <c r="I67" s="1">
        <f>'12-Hypothèses'!$C$42</f>
        <v>0.7201949999999999</v>
      </c>
      <c r="J67" s="1">
        <v>1</v>
      </c>
      <c r="K67" s="1">
        <f>('12-Hypothèses'!$C$50/2)+('12-Hypothèses'!$C$50/2)*IF(A67&lt;'12-Hypothèses'!$C$51,COS((A67-'12-Hypothèses'!$C$51)*PI()/(2*('12-Hypothèses'!$C$51-'12-Hypothèses'!$C$52))),IF(A67&lt;'12-Hypothèses'!$C$53,COS((A67-'12-Hypothèses'!$C$51)*PI()/(2*('12-Hypothèses'!$C$53-'12-Hypothèses'!$C$51))),COS((PI()/2+(A67-'12-Hypothèses'!$C$53)*PI()/(2*(0.0000011-'12-Hypothèses'!$C$53))))))</f>
        <v>0.20491243424323577</v>
      </c>
      <c r="L67" s="1">
        <f aca="true" t="shared" si="8" ref="L67:L98">F67*H67*I67*J67*K67</f>
        <v>67549584.34806556</v>
      </c>
    </row>
    <row r="68" spans="1:12" ht="12.75">
      <c r="A68" s="1">
        <v>9.20000000000001E-07</v>
      </c>
      <c r="B68" s="1">
        <f>2*'12-Hypothèses'!$C$58/(A68^4)/(EXP('12-Hypothèses'!$C$59*'12-Hypothèses'!$C$58/A68/'12-Hypothèses'!$C$60/'12-Hypothèses'!$C$9)-1)</f>
        <v>5.993360715028416E+31</v>
      </c>
      <c r="C68" s="1">
        <f>B68*'12-Hypothèses'!$C$59*'12-Hypothèses'!$C$58/'13-BilanPhotoniqueEtoile'!A68</f>
        <v>12940746263877.525</v>
      </c>
      <c r="E68" s="1">
        <f t="shared" si="6"/>
        <v>0</v>
      </c>
      <c r="F68" s="1">
        <f t="shared" si="7"/>
        <v>579891638.7906619</v>
      </c>
      <c r="G68" s="1">
        <v>0.7</v>
      </c>
      <c r="H68" s="1">
        <f>G68^(1/COS((90-'12-Hypothèses'!$C$30)*PI()/180))</f>
        <v>0.7</v>
      </c>
      <c r="I68" s="1">
        <f>'12-Hypothèses'!$C$42</f>
        <v>0.7201949999999999</v>
      </c>
      <c r="J68" s="1">
        <v>1</v>
      </c>
      <c r="K68" s="1">
        <f>('12-Hypothèses'!$C$50/2)+('12-Hypothèses'!$C$50/2)*IF(A68&lt;'12-Hypothèses'!$C$51,COS((A68-'12-Hypothèses'!$C$51)*PI()/(2*('12-Hypothèses'!$C$51-'12-Hypothèses'!$C$52))),IF(A68&lt;'12-Hypothèses'!$C$53,COS((A68-'12-Hypothèses'!$C$51)*PI()/(2*('12-Hypothèses'!$C$53-'12-Hypothèses'!$C$51))),COS((PI()/2+(A68-'12-Hypothèses'!$C$53)*PI()/(2*(0.0000011-'12-Hypothèses'!$C$53))))))</f>
        <v>0.1854966364683852</v>
      </c>
      <c r="L68" s="1">
        <f t="shared" si="8"/>
        <v>54228929.07492286</v>
      </c>
    </row>
    <row r="69" spans="1:12" ht="12.75">
      <c r="A69" s="1">
        <v>9.30000000000001E-07</v>
      </c>
      <c r="B69" s="1">
        <f>2*'12-Hypothèses'!$C$58/(A69^4)/(EXP('12-Hypothèses'!$C$59*'12-Hypothèses'!$C$58/A69/'12-Hypothèses'!$C$60/'12-Hypothèses'!$C$9)-1)</f>
        <v>5.921668650150797E+31</v>
      </c>
      <c r="C69" s="1">
        <f>B69*'12-Hypothèses'!$C$59*'12-Hypothèses'!$C$58/'13-BilanPhotoniqueEtoile'!A69</f>
        <v>12648466836022.285</v>
      </c>
      <c r="E69" s="1">
        <f t="shared" si="6"/>
        <v>0</v>
      </c>
      <c r="F69" s="1">
        <f t="shared" si="7"/>
        <v>572955024.9329439</v>
      </c>
      <c r="G69" s="1">
        <v>0.4</v>
      </c>
      <c r="H69" s="1">
        <f>G69^(1/COS((90-'12-Hypothèses'!$C$30)*PI()/180))</f>
        <v>0.4</v>
      </c>
      <c r="I69" s="1">
        <f>'12-Hypothèses'!$C$42</f>
        <v>0.7201949999999999</v>
      </c>
      <c r="J69" s="1">
        <v>1</v>
      </c>
      <c r="K69" s="1">
        <f>('12-Hypothèses'!$C$50/2)+('12-Hypothèses'!$C$50/2)*IF(A69&lt;'12-Hypothèses'!$C$51,COS((A69-'12-Hypothèses'!$C$51)*PI()/(2*('12-Hypothèses'!$C$51-'12-Hypothèses'!$C$52))),IF(A69&lt;'12-Hypothèses'!$C$53,COS((A69-'12-Hypothèses'!$C$51)*PI()/(2*('12-Hypothèses'!$C$53-'12-Hypothèses'!$C$51))),COS((PI()/2+(A69-'12-Hypothèses'!$C$53)*PI()/(2*(0.0000011-'12-Hypothèses'!$C$53))))))</f>
        <v>0.16680582402757121</v>
      </c>
      <c r="L69" s="1">
        <f t="shared" si="8"/>
        <v>27532258.33296211</v>
      </c>
    </row>
    <row r="70" spans="1:12" ht="12.75">
      <c r="A70" s="1">
        <v>9.40000000000001E-07</v>
      </c>
      <c r="B70" s="1">
        <f>2*'12-Hypothèses'!$C$58/(A70^4)/(EXP('12-Hypothèses'!$C$59*'12-Hypothèses'!$C$58/A70/'12-Hypothèses'!$C$60/'12-Hypothèses'!$C$9)-1)</f>
        <v>5.850035518204557E+31</v>
      </c>
      <c r="C70" s="1">
        <f>B70*'12-Hypothèses'!$C$59*'12-Hypothèses'!$C$58/'13-BilanPhotoniqueEtoile'!A70</f>
        <v>12362530658842.037</v>
      </c>
      <c r="E70" s="1">
        <f t="shared" si="6"/>
        <v>0</v>
      </c>
      <c r="F70" s="1">
        <f t="shared" si="7"/>
        <v>566024113.1705579</v>
      </c>
      <c r="G70" s="1">
        <v>0.3</v>
      </c>
      <c r="H70" s="1">
        <f>G70^(1/COS((90-'12-Hypothèses'!$C$30)*PI()/180))</f>
        <v>0.3</v>
      </c>
      <c r="I70" s="1">
        <f>'12-Hypothèses'!$C$42</f>
        <v>0.7201949999999999</v>
      </c>
      <c r="J70" s="1">
        <v>1</v>
      </c>
      <c r="K70" s="1">
        <f>('12-Hypothèses'!$C$50/2)+('12-Hypothèses'!$C$50/2)*IF(A70&lt;'12-Hypothèses'!$C$51,COS((A70-'12-Hypothèses'!$C$51)*PI()/(2*('12-Hypothèses'!$C$51-'12-Hypothèses'!$C$52))),IF(A70&lt;'12-Hypothèses'!$C$53,COS((A70-'12-Hypothèses'!$C$51)*PI()/(2*('12-Hypothèses'!$C$53-'12-Hypothèses'!$C$51))),COS((PI()/2+(A70-'12-Hypothèses'!$C$53)*PI()/(2*(0.0000011-'12-Hypothèses'!$C$53))))))</f>
        <v>0.14889122713851216</v>
      </c>
      <c r="L70" s="1">
        <f t="shared" si="8"/>
        <v>18208551.50424052</v>
      </c>
    </row>
    <row r="71" spans="1:12" ht="12.75">
      <c r="A71" s="1">
        <v>9.50000000000001E-07</v>
      </c>
      <c r="B71" s="1">
        <f>2*'12-Hypothèses'!$C$58/(A71^4)/(EXP('12-Hypothèses'!$C$59*'12-Hypothèses'!$C$58/A71/'12-Hypothèses'!$C$60/'12-Hypothèses'!$C$9)-1)</f>
        <v>5.778533033601781E+31</v>
      </c>
      <c r="C71" s="1">
        <f>B71*'12-Hypothèses'!$C$59*'12-Hypothèses'!$C$58/'13-BilanPhotoniqueEtoile'!A71</f>
        <v>12082887373680.504</v>
      </c>
      <c r="E71" s="1">
        <f t="shared" si="6"/>
        <v>0</v>
      </c>
      <c r="F71" s="1">
        <f t="shared" si="7"/>
        <v>559105842.2795806</v>
      </c>
      <c r="G71" s="1">
        <v>0.4</v>
      </c>
      <c r="H71" s="1">
        <f>G71^(1/COS((90-'12-Hypothèses'!$C$30)*PI()/180))</f>
        <v>0.4</v>
      </c>
      <c r="I71" s="1">
        <f>'12-Hypothèses'!$C$42</f>
        <v>0.7201949999999999</v>
      </c>
      <c r="J71" s="1">
        <v>1</v>
      </c>
      <c r="K71" s="1">
        <f>('12-Hypothèses'!$C$50/2)+('12-Hypothèses'!$C$50/2)*IF(A71&lt;'12-Hypothèses'!$C$51,COS((A71-'12-Hypothèses'!$C$51)*PI()/(2*('12-Hypothèses'!$C$51-'12-Hypothèses'!$C$52))),IF(A71&lt;'12-Hypothèses'!$C$53,COS((A71-'12-Hypothèses'!$C$51)*PI()/(2*('12-Hypothèses'!$C$53-'12-Hypothèses'!$C$51))),COS((PI()/2+(A71-'12-Hypothèses'!$C$53)*PI()/(2*(0.0000011-'12-Hypothèses'!$C$53))))))</f>
        <v>0.1318019484660521</v>
      </c>
      <c r="L71" s="1">
        <f t="shared" si="8"/>
        <v>21228824.867100228</v>
      </c>
    </row>
    <row r="72" spans="1:12" ht="12.75">
      <c r="A72" s="1">
        <v>9.60000000000001E-07</v>
      </c>
      <c r="B72" s="1">
        <f>2*'12-Hypothèses'!$C$58/(A72^4)/(EXP('12-Hypothèses'!$C$59*'12-Hypothèses'!$C$58/A72/'12-Hypothèses'!$C$60/'12-Hypothèses'!$C$9)-1)</f>
        <v>5.70722719938141E+31</v>
      </c>
      <c r="C72" s="1">
        <f>B72*'12-Hypothèses'!$C$59*'12-Hypothèses'!$C$58/'13-BilanPhotoniqueEtoile'!A72</f>
        <v>11809476902102.99</v>
      </c>
      <c r="E72" s="1">
        <f t="shared" si="6"/>
        <v>0</v>
      </c>
      <c r="F72" s="1">
        <f t="shared" si="7"/>
        <v>552206598.4283468</v>
      </c>
      <c r="G72" s="1">
        <v>0.5</v>
      </c>
      <c r="H72" s="1">
        <f>G72^(1/COS((90-'12-Hypothèses'!$C$30)*PI()/180))</f>
        <v>0.5</v>
      </c>
      <c r="I72" s="1">
        <f>'12-Hypothèses'!$C$42</f>
        <v>0.7201949999999999</v>
      </c>
      <c r="J72" s="1">
        <v>1</v>
      </c>
      <c r="K72" s="1">
        <f>('12-Hypothèses'!$C$50/2)+('12-Hypothèses'!$C$50/2)*IF(A72&lt;'12-Hypothèses'!$C$51,COS((A72-'12-Hypothèses'!$C$51)*PI()/(2*('12-Hypothèses'!$C$51-'12-Hypothèses'!$C$52))),IF(A72&lt;'12-Hypothèses'!$C$53,COS((A72-'12-Hypothèses'!$C$51)*PI()/(2*('12-Hypothèses'!$C$53-'12-Hypothèses'!$C$51))),COS((PI()/2+(A72-'12-Hypothèses'!$C$53)*PI()/(2*(0.0000011-'12-Hypothèses'!$C$53))))))</f>
        <v>0.11558482853517105</v>
      </c>
      <c r="L72" s="1">
        <f t="shared" si="8"/>
        <v>22983836.902056027</v>
      </c>
    </row>
    <row r="73" spans="1:12" ht="12.75">
      <c r="A73" s="1">
        <v>9.70000000000001E-07</v>
      </c>
      <c r="B73" s="1">
        <f>2*'12-Hypothèses'!$C$58/(A73^4)/(EXP('12-Hypothèses'!$C$59*'12-Hypothèses'!$C$58/A73/'12-Hypothèses'!$C$60/'12-Hypothèses'!$C$9)-1)</f>
        <v>5.636178659504151E+31</v>
      </c>
      <c r="C73" s="1">
        <f>B73*'12-Hypothèses'!$C$59*'12-Hypothèses'!$C$58/'13-BilanPhotoniqueEtoile'!A73</f>
        <v>11542230668374.443</v>
      </c>
      <c r="E73" s="1">
        <f t="shared" si="6"/>
        <v>0</v>
      </c>
      <c r="F73" s="1">
        <f t="shared" si="7"/>
        <v>545332249.2639794</v>
      </c>
      <c r="G73" s="1">
        <v>0.6</v>
      </c>
      <c r="H73" s="1">
        <f>G73^(1/COS((90-'12-Hypothèses'!$C$30)*PI()/180))</f>
        <v>0.6</v>
      </c>
      <c r="I73" s="1">
        <f>'12-Hypothèses'!$C$42</f>
        <v>0.7201949999999999</v>
      </c>
      <c r="J73" s="1">
        <v>1</v>
      </c>
      <c r="K73" s="1">
        <f>('12-Hypothèses'!$C$50/2)+('12-Hypothèses'!$C$50/2)*IF(A73&lt;'12-Hypothèses'!$C$51,COS((A73-'12-Hypothèses'!$C$51)*PI()/(2*('12-Hypothèses'!$C$51-'12-Hypothèses'!$C$52))),IF(A73&lt;'12-Hypothèses'!$C$53,COS((A73-'12-Hypothèses'!$C$51)*PI()/(2*('12-Hypothèses'!$C$53-'12-Hypothèses'!$C$51))),COS((PI()/2+(A73-'12-Hypothèses'!$C$53)*PI()/(2*(0.0000011-'12-Hypothèses'!$C$53))))))</f>
        <v>0.1002843173443616</v>
      </c>
      <c r="L73" s="1">
        <f t="shared" si="8"/>
        <v>23631732.18017124</v>
      </c>
    </row>
    <row r="74" spans="1:12" ht="12.75">
      <c r="A74" s="1">
        <v>9.80000000000001E-07</v>
      </c>
      <c r="B74" s="1">
        <f>2*'12-Hypothèses'!$C$58/(A74^4)/(EXP('12-Hypothèses'!$C$59*'12-Hypothèses'!$C$58/A74/'12-Hypothèses'!$C$60/'12-Hypothèses'!$C$9)-1)</f>
        <v>5.565443033169339E+31</v>
      </c>
      <c r="C74" s="1">
        <f>B74*'12-Hypothèses'!$C$59*'12-Hypothèses'!$C$58/'13-BilanPhotoniqueEtoile'!A74</f>
        <v>11281072710650.602</v>
      </c>
      <c r="E74" s="1">
        <f t="shared" si="6"/>
        <v>0</v>
      </c>
      <c r="F74" s="1">
        <f t="shared" si="7"/>
        <v>538488176.2594426</v>
      </c>
      <c r="G74" s="1">
        <v>0.7</v>
      </c>
      <c r="H74" s="1">
        <f>G74^(1/COS((90-'12-Hypothèses'!$C$30)*PI()/180))</f>
        <v>0.7</v>
      </c>
      <c r="I74" s="1">
        <f>'12-Hypothèses'!$C$42</f>
        <v>0.7201949999999999</v>
      </c>
      <c r="J74" s="1">
        <v>1</v>
      </c>
      <c r="K74" s="1">
        <f>('12-Hypothèses'!$C$50/2)+('12-Hypothèses'!$C$50/2)*IF(A74&lt;'12-Hypothèses'!$C$51,COS((A74-'12-Hypothèses'!$C$51)*PI()/(2*('12-Hypothèses'!$C$51-'12-Hypothèses'!$C$52))),IF(A74&lt;'12-Hypothèses'!$C$53,COS((A74-'12-Hypothèses'!$C$51)*PI()/(2*('12-Hypothèses'!$C$53-'12-Hypothèses'!$C$51))),COS((PI()/2+(A74-'12-Hypothèses'!$C$53)*PI()/(2*(0.0000011-'12-Hypothèses'!$C$53))))))</f>
        <v>0.08594235253127241</v>
      </c>
      <c r="L74" s="1">
        <f t="shared" si="8"/>
        <v>23330903.17712008</v>
      </c>
    </row>
    <row r="75" spans="1:12" ht="12.75">
      <c r="A75" s="1">
        <v>9.90000000000001E-07</v>
      </c>
      <c r="B75" s="1">
        <f>2*'12-Hypothèses'!$C$58/(A75^4)/(EXP('12-Hypothèses'!$C$59*'12-Hypothèses'!$C$58/A75/'12-Hypothèses'!$C$60/'12-Hypothèses'!$C$9)-1)</f>
        <v>5.4950712316752245E+31</v>
      </c>
      <c r="C75" s="1">
        <f>B75*'12-Hypothèses'!$C$59*'12-Hypothèses'!$C$58/'13-BilanPhotoniqueEtoile'!A75</f>
        <v>11025920689797.477</v>
      </c>
      <c r="E75" s="1">
        <f t="shared" si="6"/>
        <v>0</v>
      </c>
      <c r="F75" s="1">
        <f t="shared" si="7"/>
        <v>531679305.37157047</v>
      </c>
      <c r="G75" s="1">
        <v>0.8</v>
      </c>
      <c r="H75" s="1">
        <f>G75^(1/COS((90-'12-Hypothèses'!$C$30)*PI()/180))</f>
        <v>0.8</v>
      </c>
      <c r="I75" s="1">
        <f>'12-Hypothèses'!$C$42</f>
        <v>0.7201949999999999</v>
      </c>
      <c r="J75" s="1">
        <v>1</v>
      </c>
      <c r="K75" s="1">
        <f>('12-Hypothèses'!$C$50/2)+('12-Hypothèses'!$C$50/2)*IF(A75&lt;'12-Hypothèses'!$C$51,COS((A75-'12-Hypothèses'!$C$51)*PI()/(2*('12-Hypothèses'!$C$51-'12-Hypothèses'!$C$52))),IF(A75&lt;'12-Hypothèses'!$C$53,COS((A75-'12-Hypothèses'!$C$51)*PI()/(2*('12-Hypothèses'!$C$53-'12-Hypothèses'!$C$51))),COS((PI()/2+(A75-'12-Hypothèses'!$C$53)*PI()/(2*(0.0000011-'12-Hypothèses'!$C$53))))))</f>
        <v>0.07259824442455803</v>
      </c>
      <c r="L75" s="1">
        <f t="shared" si="8"/>
        <v>22239036.321632463</v>
      </c>
    </row>
    <row r="76" spans="1:12" ht="12.75">
      <c r="A76" s="1">
        <v>1E-06</v>
      </c>
      <c r="B76" s="1">
        <f>2*'12-Hypothèses'!$C$58/(A76^4)/(EXP('12-Hypothèses'!$C$59*'12-Hypothèses'!$C$58/A76/'12-Hypothèses'!$C$60/'12-Hypothèses'!$C$9)-1)</f>
        <v>5.425109758390574E+31</v>
      </c>
      <c r="C76" s="1">
        <f>B76*'12-Hypothèses'!$C$59*'12-Hypothèses'!$C$58/'13-BilanPhotoniqueEtoile'!A76</f>
        <v>10776686804133.182</v>
      </c>
      <c r="E76" s="1">
        <f t="shared" si="6"/>
        <v>0</v>
      </c>
      <c r="F76" s="1">
        <f t="shared" si="7"/>
        <v>524910136.06502175</v>
      </c>
      <c r="G76" s="1">
        <v>0.84</v>
      </c>
      <c r="H76" s="1">
        <f>G76^(1/COS((90-'12-Hypothèses'!$C$30)*PI()/180))</f>
        <v>0.84</v>
      </c>
      <c r="I76" s="1">
        <f>'12-Hypothèses'!$C$42</f>
        <v>0.7201949999999999</v>
      </c>
      <c r="J76" s="1">
        <v>1</v>
      </c>
      <c r="K76" s="1">
        <f>('12-Hypothèses'!$C$50/2)+('12-Hypothèses'!$C$50/2)*IF(A76&lt;'12-Hypothèses'!$C$51,COS((A76-'12-Hypothèses'!$C$51)*PI()/(2*('12-Hypothèses'!$C$51-'12-Hypothèses'!$C$52))),IF(A76&lt;'12-Hypothèses'!$C$53,COS((A76-'12-Hypothèses'!$C$51)*PI()/(2*('12-Hypothèses'!$C$53-'12-Hypothèses'!$C$51))),COS((PI()/2+(A76-'12-Hypothèses'!$C$53)*PI()/(2*(0.0000011-'12-Hypothèses'!$C$53))))))</f>
        <v>0.06028856829700269</v>
      </c>
      <c r="L76" s="1">
        <f t="shared" si="8"/>
        <v>19144733.16758946</v>
      </c>
    </row>
    <row r="77" spans="1:12" ht="12.75">
      <c r="A77" s="1">
        <v>1.01E-06</v>
      </c>
      <c r="B77" s="1">
        <f>2*'12-Hypothèses'!$C$58/(A77^4)/(EXP('12-Hypothèses'!$C$59*'12-Hypothèses'!$C$58/A77/'12-Hypothèses'!$C$60/'12-Hypothèses'!$C$9)-1)</f>
        <v>5.355600992439006E+31</v>
      </c>
      <c r="C77" s="1">
        <f>B77*'12-Hypothèses'!$C$59*'12-Hypothèses'!$C$58/'13-BilanPhotoniqueEtoile'!A77</f>
        <v>10533278617795.2</v>
      </c>
      <c r="E77" s="1">
        <f t="shared" si="6"/>
        <v>0</v>
      </c>
      <c r="F77" s="1">
        <f t="shared" si="7"/>
        <v>518184768.7603475</v>
      </c>
      <c r="G77" s="1">
        <v>0.84</v>
      </c>
      <c r="H77" s="1">
        <f>G77^(1/COS((90-'12-Hypothèses'!$C$30)*PI()/180))</f>
        <v>0.84</v>
      </c>
      <c r="I77" s="1">
        <f>'12-Hypothèses'!$C$42</f>
        <v>0.7201949999999999</v>
      </c>
      <c r="J77" s="1">
        <v>1</v>
      </c>
      <c r="K77" s="1">
        <f>('12-Hypothèses'!$C$50/2)+('12-Hypothèses'!$C$50/2)*IF(A77&lt;'12-Hypothèses'!$C$51,COS((A77-'12-Hypothèses'!$C$51)*PI()/(2*('12-Hypothèses'!$C$51-'12-Hypothèses'!$C$52))),IF(A77&lt;'12-Hypothèses'!$C$53,COS((A77-'12-Hypothèses'!$C$51)*PI()/(2*('12-Hypothèses'!$C$53-'12-Hypothèses'!$C$51))),COS((PI()/2+(A77-'12-Hypothèses'!$C$53)*PI()/(2*(0.0000011-'12-Hypothèses'!$C$53))))))</f>
        <v>0.04904706411523452</v>
      </c>
      <c r="L77" s="1">
        <f t="shared" si="8"/>
        <v>15375422.115055587</v>
      </c>
    </row>
    <row r="78" spans="1:12" ht="12.75">
      <c r="A78" s="1">
        <v>1.02E-06</v>
      </c>
      <c r="B78" s="1">
        <f>2*'12-Hypothèses'!$C$58/(A78^4)/(EXP('12-Hypothèses'!$C$59*'12-Hypothèses'!$C$58/A78/'12-Hypothèses'!$C$60/'12-Hypothèses'!$C$9)-1)</f>
        <v>5.286583456720338E+31</v>
      </c>
      <c r="C78" s="1">
        <f>B78*'12-Hypothèses'!$C$59*'12-Hypothèses'!$C$58/'13-BilanPhotoniqueEtoile'!A78</f>
        <v>10295599809876.645</v>
      </c>
      <c r="E78" s="1">
        <f t="shared" si="6"/>
        <v>0</v>
      </c>
      <c r="F78" s="1">
        <f t="shared" si="7"/>
        <v>511506930.76657647</v>
      </c>
      <c r="G78" s="1">
        <v>0.84</v>
      </c>
      <c r="H78" s="1">
        <f>G78^(1/COS((90-'12-Hypothèses'!$C$30)*PI()/180))</f>
        <v>0.84</v>
      </c>
      <c r="I78" s="1">
        <f>'12-Hypothèses'!$C$42</f>
        <v>0.7201949999999999</v>
      </c>
      <c r="J78" s="1">
        <v>1</v>
      </c>
      <c r="K78" s="1">
        <f>('12-Hypothèses'!$C$50/2)+('12-Hypothèses'!$C$50/2)*IF(A78&lt;'12-Hypothèses'!$C$51,COS((A78-'12-Hypothèses'!$C$51)*PI()/(2*('12-Hypothèses'!$C$51-'12-Hypothèses'!$C$52))),IF(A78&lt;'12-Hypothèses'!$C$53,COS((A78-'12-Hypothèses'!$C$51)*PI()/(2*('12-Hypothèses'!$C$53-'12-Hypothèses'!$C$51))),COS((PI()/2+(A78-'12-Hypothèses'!$C$53)*PI()/(2*(0.0000011-'12-Hypothèses'!$C$53))))))</f>
        <v>0.038904544060829716</v>
      </c>
      <c r="L78" s="1">
        <f t="shared" si="8"/>
        <v>12038745.696913868</v>
      </c>
    </row>
    <row r="79" spans="1:12" ht="12.75">
      <c r="A79" s="1">
        <v>1.03E-06</v>
      </c>
      <c r="B79" s="1">
        <f>2*'12-Hypothèses'!$C$58/(A79^4)/(EXP('12-Hypothèses'!$C$59*'12-Hypothèses'!$C$58/A79/'12-Hypothèses'!$C$60/'12-Hypothèses'!$C$9)-1)</f>
        <v>5.218092070906677E+31</v>
      </c>
      <c r="C79" s="1">
        <f>B79*'12-Hypothèses'!$C$59*'12-Hypothèses'!$C$58/'13-BilanPhotoniqueEtoile'!A79</f>
        <v>10063550850945.865</v>
      </c>
      <c r="E79" s="1">
        <f t="shared" si="6"/>
        <v>0</v>
      </c>
      <c r="F79" s="1">
        <f t="shared" si="7"/>
        <v>504880000.7600219</v>
      </c>
      <c r="G79" s="1">
        <v>0.84</v>
      </c>
      <c r="H79" s="1">
        <f>G79^(1/COS((90-'12-Hypothèses'!$C$30)*PI()/180))</f>
        <v>0.84</v>
      </c>
      <c r="I79" s="1">
        <f>'12-Hypothèses'!$C$42</f>
        <v>0.7201949999999999</v>
      </c>
      <c r="J79" s="1">
        <v>1</v>
      </c>
      <c r="K79" s="1">
        <f>('12-Hypothèses'!$C$50/2)+('12-Hypothèses'!$C$50/2)*IF(A79&lt;'12-Hypothèses'!$C$51,COS((A79-'12-Hypothèses'!$C$51)*PI()/(2*('12-Hypothèses'!$C$51-'12-Hypothèses'!$C$52))),IF(A79&lt;'12-Hypothèses'!$C$53,COS((A79-'12-Hypothèses'!$C$51)*PI()/(2*('12-Hypothèses'!$C$53-'12-Hypothèses'!$C$51))),COS((PI()/2+(A79-'12-Hypothèses'!$C$53)*PI()/(2*(0.0000011-'12-Hypothèses'!$C$53))))))</f>
        <v>0.02988880807625921</v>
      </c>
      <c r="L79" s="1">
        <f t="shared" si="8"/>
        <v>9129061.906311745</v>
      </c>
    </row>
    <row r="80" spans="1:12" ht="12.75">
      <c r="A80" s="1">
        <v>1.04E-06</v>
      </c>
      <c r="B80" s="1">
        <f>2*'12-Hypothèses'!$C$58/(A80^4)/(EXP('12-Hypothèses'!$C$59*'12-Hypothèses'!$C$58/A80/'12-Hypothèses'!$C$60/'12-Hypothèses'!$C$9)-1)</f>
        <v>5.150158390057218E+31</v>
      </c>
      <c r="C80" s="1">
        <f>B80*'12-Hypothèses'!$C$59*'12-Hypothèses'!$C$58/'13-BilanPhotoniqueEtoile'!A80</f>
        <v>9837029613067.266</v>
      </c>
      <c r="E80" s="1">
        <f t="shared" si="6"/>
        <v>0</v>
      </c>
      <c r="F80" s="1">
        <f t="shared" si="7"/>
        <v>498307031.8716162</v>
      </c>
      <c r="G80" s="1">
        <v>0.86</v>
      </c>
      <c r="H80" s="1">
        <f>G80^(1/COS((90-'12-Hypothèses'!$C$30)*PI()/180))</f>
        <v>0.86</v>
      </c>
      <c r="I80" s="1">
        <f>'12-Hypothèses'!$C$42</f>
        <v>0.7201949999999999</v>
      </c>
      <c r="J80" s="1">
        <v>1</v>
      </c>
      <c r="K80" s="1">
        <f>('12-Hypothèses'!$C$50/2)+('12-Hypothèses'!$C$50/2)*IF(A80&lt;'12-Hypothèses'!$C$51,COS((A80-'12-Hypothèses'!$C$51)*PI()/(2*('12-Hypothèses'!$C$51-'12-Hypothèses'!$C$52))),IF(A80&lt;'12-Hypothèses'!$C$53,COS((A80-'12-Hypothèses'!$C$51)*PI()/(2*('12-Hypothèses'!$C$53-'12-Hypothèses'!$C$51))),COS((PI()/2+(A80-'12-Hypothèses'!$C$53)*PI()/(2*(0.0000011-'12-Hypothèses'!$C$53))))))</f>
        <v>0.022024567667180917</v>
      </c>
      <c r="L80" s="1">
        <f t="shared" si="8"/>
        <v>6797558.613776125</v>
      </c>
    </row>
    <row r="81" spans="1:12" ht="12.75">
      <c r="A81" s="1">
        <v>1.05E-06</v>
      </c>
      <c r="B81" s="1">
        <f>2*'12-Hypothèses'!$C$58/(A81^4)/(EXP('12-Hypothèses'!$C$59*'12-Hypothèses'!$C$58/A81/'12-Hypothèses'!$C$60/'12-Hypothèses'!$C$9)-1)</f>
        <v>5.082810829495488E+31</v>
      </c>
      <c r="C81" s="1">
        <f>B81*'12-Hypothèses'!$C$59*'12-Hypothèses'!$C$58/'13-BilanPhotoniqueEtoile'!A81</f>
        <v>9615931918974.309</v>
      </c>
      <c r="E81" s="1">
        <f t="shared" si="6"/>
        <v>0</v>
      </c>
      <c r="F81" s="1">
        <f t="shared" si="7"/>
        <v>491790773.44506</v>
      </c>
      <c r="G81" s="1">
        <v>0.86</v>
      </c>
      <c r="H81" s="1">
        <f>G81^(1/COS((90-'12-Hypothèses'!$C$30)*PI()/180))</f>
        <v>0.86</v>
      </c>
      <c r="I81" s="1">
        <f>'12-Hypothèses'!$C$42</f>
        <v>0.7201949999999999</v>
      </c>
      <c r="J81" s="1">
        <v>1</v>
      </c>
      <c r="K81" s="1">
        <f>('12-Hypothèses'!$C$50/2)+('12-Hypothèses'!$C$50/2)*IF(A81&lt;'12-Hypothèses'!$C$51,COS((A81-'12-Hypothèses'!$C$51)*PI()/(2*('12-Hypothèses'!$C$51-'12-Hypothèses'!$C$52))),IF(A81&lt;'12-Hypothèses'!$C$53,COS((A81-'12-Hypothèses'!$C$51)*PI()/(2*('12-Hypothèses'!$C$53-'12-Hypothèses'!$C$51))),COS((PI()/2+(A81-'12-Hypothèses'!$C$53)*PI()/(2*(0.0000011-'12-Hypothèses'!$C$53))))))</f>
        <v>0.015333378169919365</v>
      </c>
      <c r="L81" s="1">
        <f t="shared" si="8"/>
        <v>4670536.56738524</v>
      </c>
    </row>
    <row r="82" spans="1:12" ht="12.75">
      <c r="A82" s="1">
        <v>1.06E-06</v>
      </c>
      <c r="B82" s="1">
        <f>2*'12-Hypothèses'!$C$58/(A82^4)/(EXP('12-Hypothèses'!$C$59*'12-Hypothèses'!$C$58/A82/'12-Hypothèses'!$C$60/'12-Hypothèses'!$C$9)-1)</f>
        <v>5.016074876587379E+31</v>
      </c>
      <c r="C82" s="1">
        <f>B82*'12-Hypothèses'!$C$59*'12-Hypothèses'!$C$58/'13-BilanPhotoniqueEtoile'!A82</f>
        <v>9400152035609.268</v>
      </c>
      <c r="E82" s="1">
        <f t="shared" si="6"/>
        <v>0</v>
      </c>
      <c r="F82" s="1">
        <f t="shared" si="7"/>
        <v>485333691.5275475</v>
      </c>
      <c r="G82" s="1">
        <v>0.86</v>
      </c>
      <c r="H82" s="1">
        <f>G82^(1/COS((90-'12-Hypothèses'!$C$30)*PI()/180))</f>
        <v>0.86</v>
      </c>
      <c r="I82" s="1">
        <f>'12-Hypothèses'!$C$42</f>
        <v>0.7201949999999999</v>
      </c>
      <c r="J82" s="1">
        <v>1</v>
      </c>
      <c r="K82" s="1">
        <f>('12-Hypothèses'!$C$50/2)+('12-Hypothèses'!$C$50/2)*IF(A82&lt;'12-Hypothèses'!$C$51,COS((A82-'12-Hypothèses'!$C$51)*PI()/(2*('12-Hypothèses'!$C$51-'12-Hypothèses'!$C$52))),IF(A82&lt;'12-Hypothèses'!$C$53,COS((A82-'12-Hypothèses'!$C$51)*PI()/(2*('12-Hypothèses'!$C$53-'12-Hypothèses'!$C$51))),COS((PI()/2+(A82-'12-Hypothèses'!$C$53)*PI()/(2*(0.0000011-'12-Hypothèses'!$C$53))))))</f>
        <v>0.009833579669787484</v>
      </c>
      <c r="L82" s="1">
        <f t="shared" si="8"/>
        <v>2955974.1692380803</v>
      </c>
    </row>
    <row r="83" spans="1:12" ht="12.75">
      <c r="A83" s="1">
        <v>1.07E-06</v>
      </c>
      <c r="B83" s="1">
        <f>2*'12-Hypothèses'!$C$58/(A83^4)/(EXP('12-Hypothèses'!$C$59*'12-Hypothèses'!$C$58/A83/'12-Hypothèses'!$C$60/'12-Hypothèses'!$C$9)-1)</f>
        <v>4.949973290048864E+31</v>
      </c>
      <c r="C83" s="1">
        <f>B83*'12-Hypothèses'!$C$59*'12-Hypothèses'!$C$58/'13-BilanPhotoniqueEtoile'!A83</f>
        <v>9189583116836.84</v>
      </c>
      <c r="E83" s="1">
        <f t="shared" si="6"/>
        <v>0</v>
      </c>
      <c r="F83" s="1">
        <f t="shared" si="7"/>
        <v>478937988.15391856</v>
      </c>
      <c r="G83" s="1">
        <v>0.86</v>
      </c>
      <c r="H83" s="1">
        <f>G83^(1/COS((90-'12-Hypothèses'!$C$30)*PI()/180))</f>
        <v>0.86</v>
      </c>
      <c r="I83" s="1">
        <f>'12-Hypothèses'!$C$42</f>
        <v>0.7201949999999999</v>
      </c>
      <c r="J83" s="1">
        <v>1</v>
      </c>
      <c r="K83" s="1">
        <f>('12-Hypothèses'!$C$50/2)+('12-Hypothèses'!$C$50/2)*IF(A83&lt;'12-Hypothèses'!$C$51,COS((A83-'12-Hypothèses'!$C$51)*PI()/(2*('12-Hypothèses'!$C$51-'12-Hypothèses'!$C$52))),IF(A83&lt;'12-Hypothèses'!$C$53,COS((A83-'12-Hypothèses'!$C$51)*PI()/(2*('12-Hypothèses'!$C$53-'12-Hypothèses'!$C$51))),COS((PI()/2+(A83-'12-Hypothèses'!$C$53)*PI()/(2*(0.0000011-'12-Hypothèses'!$C$53))))))</f>
        <v>0.005540246732188114</v>
      </c>
      <c r="L83" s="1">
        <f t="shared" si="8"/>
        <v>1643451.700037485</v>
      </c>
    </row>
    <row r="84" spans="1:12" ht="12.75">
      <c r="A84" s="1">
        <v>1.08E-06</v>
      </c>
      <c r="B84" s="1">
        <f>2*'12-Hypothèses'!$C$58/(A84^4)/(EXP('12-Hypothèses'!$C$59*'12-Hypothèses'!$C$58/A84/'12-Hypothèses'!$C$60/'12-Hypothèses'!$C$9)-1)</f>
        <v>4.884526287399329E+31</v>
      </c>
      <c r="C84" s="1">
        <f>B84*'12-Hypothèses'!$C$59*'12-Hypothèses'!$C$58/'13-BilanPhotoniqueEtoile'!A84</f>
        <v>8984117599758.736</v>
      </c>
      <c r="E84" s="1">
        <f t="shared" si="6"/>
        <v>0</v>
      </c>
      <c r="F84" s="1">
        <f t="shared" si="7"/>
        <v>472605619.4838317</v>
      </c>
      <c r="G84" s="1">
        <v>0.86</v>
      </c>
      <c r="H84" s="1">
        <f>G84^(1/COS((90-'12-Hypothèses'!$C$30)*PI()/180))</f>
        <v>0.86</v>
      </c>
      <c r="I84" s="1">
        <f>'12-Hypothèses'!$C$42</f>
        <v>0.7201949999999999</v>
      </c>
      <c r="J84" s="1">
        <v>1</v>
      </c>
      <c r="K84" s="1">
        <f>('12-Hypothèses'!$C$50/2)+('12-Hypothèses'!$C$50/2)*IF(A84&lt;'12-Hypothèses'!$C$51,COS((A84-'12-Hypothèses'!$C$51)*PI()/(2*('12-Hypothèses'!$C$51-'12-Hypothèses'!$C$52))),IF(A84&lt;'12-Hypothèses'!$C$53,COS((A84-'12-Hypothèses'!$C$51)*PI()/(2*('12-Hypothèses'!$C$53-'12-Hypothèses'!$C$51))),COS((PI()/2+(A84-'12-Hypothèses'!$C$53)*PI()/(2*(0.0000011-'12-Hypothèses'!$C$53))))))</f>
        <v>0.0024651470842770307</v>
      </c>
      <c r="L84" s="1">
        <f t="shared" si="8"/>
        <v>721589.6099404588</v>
      </c>
    </row>
    <row r="85" spans="1:12" ht="12.75">
      <c r="A85" s="1">
        <v>1.09E-06</v>
      </c>
      <c r="B85" s="1">
        <f>2*'12-Hypothèses'!$C$58/(A85^4)/(EXP('12-Hypothèses'!$C$59*'12-Hypothèses'!$C$58/A85/'12-Hypothèses'!$C$60/'12-Hypothèses'!$C$9)-1)</f>
        <v>4.81975172116111E+31</v>
      </c>
      <c r="C85" s="1">
        <f>B85*'12-Hypothèses'!$C$59*'12-Hypothèses'!$C$58/'13-BilanPhotoniqueEtoile'!A85</f>
        <v>8783647558703.583</v>
      </c>
      <c r="E85" s="1">
        <f t="shared" si="6"/>
        <v>0</v>
      </c>
      <c r="F85" s="1">
        <f t="shared" si="7"/>
        <v>466338312.8500682</v>
      </c>
      <c r="G85" s="1">
        <v>0.8</v>
      </c>
      <c r="H85" s="1">
        <f>G85^(1/COS((90-'12-Hypothèses'!$C$30)*PI()/180))</f>
        <v>0.8</v>
      </c>
      <c r="I85" s="1">
        <f>'12-Hypothèses'!$C$42</f>
        <v>0.7201949999999999</v>
      </c>
      <c r="J85" s="1">
        <v>1</v>
      </c>
      <c r="K85" s="1">
        <f>('12-Hypothèses'!$C$50/2)+('12-Hypothèses'!$C$50/2)*IF(A85&lt;'12-Hypothèses'!$C$51,COS((A85-'12-Hypothèses'!$C$51)*PI()/(2*('12-Hypothèses'!$C$51-'12-Hypothèses'!$C$52))),IF(A85&lt;'12-Hypothèses'!$C$53,COS((A85-'12-Hypothèses'!$C$51)*PI()/(2*('12-Hypothèses'!$C$53-'12-Hypothèses'!$C$51))),COS((PI()/2+(A85-'12-Hypothèses'!$C$53)*PI()/(2*(0.0000011-'12-Hypothèses'!$C$53))))))</f>
        <v>0.0006167093604417806</v>
      </c>
      <c r="L85" s="1">
        <f t="shared" si="8"/>
        <v>165699.70158796044</v>
      </c>
    </row>
    <row r="86" spans="1:12" ht="12.75">
      <c r="A86" s="1">
        <v>1.1E-06</v>
      </c>
      <c r="B86" s="1">
        <f>2*'12-Hypothèses'!$C$58/(A86^4)/(EXP('12-Hypothèses'!$C$59*'12-Hypothèses'!$C$58/A86/'12-Hypothèses'!$C$60/'12-Hypothèses'!$C$9)-1)</f>
        <v>4.755665244388006E+31</v>
      </c>
      <c r="C86" s="1">
        <f>B86*'12-Hypothèses'!$C$59*'12-Hypothèses'!$C$58/'13-BilanPhotoniqueEtoile'!A86</f>
        <v>8588065020637.91</v>
      </c>
      <c r="E86" s="1">
        <f t="shared" si="6"/>
        <v>0</v>
      </c>
      <c r="F86" s="1">
        <f t="shared" si="7"/>
        <v>460137582.7743549</v>
      </c>
      <c r="G86" s="1">
        <v>0.75</v>
      </c>
      <c r="H86" s="1">
        <f>G86^(1/COS((90-'12-Hypothèses'!$C$30)*PI()/180))</f>
        <v>0.75</v>
      </c>
      <c r="I86" s="1">
        <f>'12-Hypothèses'!$C$42</f>
        <v>0.7201949999999999</v>
      </c>
      <c r="J86" s="1">
        <v>1</v>
      </c>
      <c r="K86" s="1">
        <f>('12-Hypothèses'!$C$50/2)+('12-Hypothèses'!$C$50/2)*IF(A86&lt;'12-Hypothèses'!$C$51,COS((A86-'12-Hypothèses'!$C$51)*PI()/(2*('12-Hypothèses'!$C$51-'12-Hypothèses'!$C$52))),IF(A86&lt;'12-Hypothèses'!$C$53,COS((A86-'12-Hypothèses'!$C$51)*PI()/(2*('12-Hypothèses'!$C$53-'12-Hypothèses'!$C$51))),COS((PI()/2+(A86-'12-Hypothèses'!$C$53)*PI()/(2*(0.0000011-'12-Hypothèses'!$C$53))))))</f>
        <v>0</v>
      </c>
      <c r="L86" s="1">
        <f t="shared" si="8"/>
        <v>0</v>
      </c>
    </row>
    <row r="87" spans="4:12" ht="12.75">
      <c r="D87">
        <f>SUMPRODUCT(D3:D76,C3:C76)*0.00000001</f>
        <v>2716414.1452050274</v>
      </c>
      <c r="E87" s="3">
        <f>SUM(E3:E76)*0.00000001</f>
        <v>1828146719.7229834</v>
      </c>
      <c r="F87" s="3"/>
      <c r="G87" t="s">
        <v>430</v>
      </c>
      <c r="H87" s="1"/>
      <c r="I87" s="1"/>
      <c r="J87" s="1"/>
      <c r="L87" s="3">
        <f>SUM(L3:L86)*0.00000001</f>
        <v>112.07646789212014</v>
      </c>
    </row>
    <row r="88" spans="3:5" ht="12.75">
      <c r="C88" t="s">
        <v>431</v>
      </c>
      <c r="D88">
        <v>892.0776629</v>
      </c>
      <c r="E88" t="s">
        <v>432</v>
      </c>
    </row>
    <row r="89" spans="4:6" ht="12.75">
      <c r="D89" t="s">
        <v>440</v>
      </c>
      <c r="E89" s="1">
        <f>PI()*'12-Hypothèses'!C10^2/('12-Hypothèses'!C14^2)/4</f>
        <v>8.661383045218925E-06</v>
      </c>
      <c r="F89" s="1" t="s">
        <v>160</v>
      </c>
    </row>
    <row r="90" spans="4:6" ht="12.75">
      <c r="D90" t="s">
        <v>441</v>
      </c>
      <c r="E90" s="1">
        <f>'12-Hypothèses'!C17</f>
        <v>3141592.653589793</v>
      </c>
      <c r="F90" t="s">
        <v>357</v>
      </c>
    </row>
    <row r="91" spans="4:5" ht="12.75">
      <c r="D91" t="s">
        <v>442</v>
      </c>
      <c r="E91">
        <f>'12-Hypothèses'!C18</f>
        <v>0.1</v>
      </c>
    </row>
    <row r="92" spans="4:6" ht="12.75">
      <c r="D92" t="s">
        <v>443</v>
      </c>
      <c r="E92" s="1">
        <f>'12-Hypothèses'!C20^2</f>
        <v>8.951809167189568E+22</v>
      </c>
      <c r="F92" s="1"/>
    </row>
    <row r="93" spans="5:6" ht="12.75">
      <c r="E93" s="1">
        <f>E89*E90*E91/PI()/E92</f>
        <v>9.675567121074116E-24</v>
      </c>
      <c r="F93" s="1"/>
    </row>
    <row r="94" spans="4:5" ht="12.75">
      <c r="D94" t="s">
        <v>444</v>
      </c>
      <c r="E94" s="1">
        <f>E87*E93</f>
        <v>1.7688356293851196E-14</v>
      </c>
    </row>
    <row r="95" spans="4:5" ht="12.75">
      <c r="D95" t="s">
        <v>445</v>
      </c>
      <c r="E95" s="32">
        <f>2.5*LOG10('1-Cste Phys'!B28/'15-BilanPhotoniqueAsteroide'!E94)</f>
        <v>20.392865597584887</v>
      </c>
    </row>
    <row r="96" spans="4:5" ht="12.75">
      <c r="D96" t="s">
        <v>446</v>
      </c>
      <c r="E96" s="38">
        <f>'12-Hypothèses'!C23</f>
        <v>20</v>
      </c>
    </row>
    <row r="97" spans="4:6" ht="12.75">
      <c r="D97" t="s">
        <v>447</v>
      </c>
      <c r="E97" s="32">
        <f>(100^0.2)^(E95-E96)*'12-Hypothèses'!C18</f>
        <v>0.14359728839716737</v>
      </c>
      <c r="F97" t="s">
        <v>448</v>
      </c>
    </row>
  </sheetData>
  <sheetProtection/>
  <printOptions/>
  <pageMargins left="0.7868055555555555" right="0.7868055555555555" top="0.9840277777777777" bottom="0.9840277777777777" header="0.49166666666666664" footer="0.49166666666666664"/>
  <pageSetup horizontalDpi="30066" verticalDpi="30066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30" sqref="B30"/>
    </sheetView>
  </sheetViews>
  <sheetFormatPr defaultColWidth="11.00390625" defaultRowHeight="12.75"/>
  <cols>
    <col min="1" max="1" width="33.7109375" style="0" customWidth="1"/>
    <col min="2" max="2" width="11.28125" style="0" customWidth="1"/>
    <col min="3" max="3" width="12.421875" style="0" bestFit="1" customWidth="1"/>
  </cols>
  <sheetData>
    <row r="1" s="2" customFormat="1" ht="12.75">
      <c r="A1" s="2" t="s">
        <v>449</v>
      </c>
    </row>
    <row r="2" spans="1:3" s="2" customFormat="1" ht="12.75">
      <c r="A2" t="s">
        <v>450</v>
      </c>
      <c r="B2" s="1">
        <f>'12-Hypothèses'!C36*(2.44*'12-Hypothèses'!C51/'12-Hypothèses'!C34+2*'12-Hypothèses'!C32*PI()/(180*3600))</f>
        <v>4.438648700032757E-05</v>
      </c>
      <c r="C2" t="s">
        <v>120</v>
      </c>
    </row>
    <row r="3" spans="1:3" s="2" customFormat="1" ht="12.75">
      <c r="A3" t="s">
        <v>451</v>
      </c>
      <c r="B3" s="7">
        <f>1+INT(B2/'12-Hypothèses'!C44)</f>
        <v>12</v>
      </c>
      <c r="C3"/>
    </row>
    <row r="4" spans="1:2" ht="12.75">
      <c r="A4" t="s">
        <v>452</v>
      </c>
      <c r="B4" s="7">
        <f>B3^2</f>
        <v>144</v>
      </c>
    </row>
    <row r="5" spans="1:2" ht="12.75">
      <c r="A5" t="s">
        <v>453</v>
      </c>
      <c r="B5" s="7">
        <f>B4*4</f>
        <v>576</v>
      </c>
    </row>
    <row r="6" ht="12.75">
      <c r="B6" s="8"/>
    </row>
    <row r="7" spans="1:9" ht="12.75">
      <c r="A7" s="2" t="s">
        <v>454</v>
      </c>
      <c r="B7" s="2" t="s">
        <v>455</v>
      </c>
      <c r="C7" t="s">
        <v>456</v>
      </c>
      <c r="D7" t="s">
        <v>457</v>
      </c>
      <c r="E7" t="s">
        <v>458</v>
      </c>
      <c r="F7" t="s">
        <v>459</v>
      </c>
      <c r="G7" t="s">
        <v>460</v>
      </c>
      <c r="H7" t="s">
        <v>461</v>
      </c>
      <c r="I7" s="2" t="s">
        <v>462</v>
      </c>
    </row>
    <row r="8" spans="1:5" ht="12.75">
      <c r="A8" s="2"/>
      <c r="B8" s="2"/>
      <c r="C8" t="s">
        <v>147</v>
      </c>
      <c r="D8" t="s">
        <v>113</v>
      </c>
      <c r="E8" t="s">
        <v>463</v>
      </c>
    </row>
    <row r="9" spans="1:10" ht="12.75">
      <c r="A9" t="s">
        <v>464</v>
      </c>
      <c r="B9">
        <f>'12-Hypothèses'!C6</f>
        <v>20</v>
      </c>
      <c r="C9">
        <f>'12-Hypothèses'!C61*(100^(1/5))^(-'12-Hypothèses'!C6)</f>
        <v>2.5399999999999903E-14</v>
      </c>
      <c r="D9" s="1">
        <f>'13-BilanPhotoniqueEtoile'!E91</f>
        <v>1.5732455745491161E-12</v>
      </c>
      <c r="E9" s="1">
        <f>'13-BilanPhotoniqueEtoile'!L87*'12-Hypothèses'!C55*('12-Hypothèses'!C34^2)*PI()/4</f>
        <v>1721.0958291361158</v>
      </c>
      <c r="F9" s="6">
        <f>SQRT(E9)</f>
        <v>41.48609199642834</v>
      </c>
      <c r="G9">
        <f>SQRT(B4*'12-Hypothèses'!$C$54^2)</f>
        <v>18</v>
      </c>
      <c r="H9" s="6">
        <f>E9/F9</f>
        <v>41.48609199642834</v>
      </c>
      <c r="I9" s="31">
        <f>E9/SQRT(G9^2+F9^2)</f>
        <v>38.05819794877477</v>
      </c>
      <c r="J9" t="s">
        <v>465</v>
      </c>
    </row>
    <row r="10" spans="1:9" ht="12.75">
      <c r="A10" t="s">
        <v>466</v>
      </c>
      <c r="B10" s="4">
        <f>'12-Hypothèses'!C23</f>
        <v>20</v>
      </c>
      <c r="C10">
        <f>'12-Hypothèses'!C61*(100^(1/5))^(-'12-Hypothèses'!C23)</f>
        <v>2.5399999999999903E-14</v>
      </c>
      <c r="D10" s="1">
        <f>'12-Hypothèses'!C16/'12-Hypothèses'!C20</f>
        <v>6.684587122268446E-09</v>
      </c>
      <c r="E10" s="1">
        <f>'15-BilanPhotoniqueAsteroide'!L87*'12-Hypothèses'!C55*('12-Hypothèses'!C34^2)*PI()/4</f>
        <v>1320.3697806381635</v>
      </c>
      <c r="F10" s="6">
        <f>SQRT(E10)</f>
        <v>36.3368928313658</v>
      </c>
      <c r="G10">
        <f>SQRT(B4*'12-Hypothèses'!$C$54^2)</f>
        <v>18</v>
      </c>
      <c r="H10" s="6">
        <f>E10/F10</f>
        <v>36.33689283136581</v>
      </c>
      <c r="I10" s="31">
        <f>E10/SQRT(G10^2+F10^2)</f>
        <v>32.56085742036451</v>
      </c>
    </row>
    <row r="11" spans="1:10" ht="12.75">
      <c r="A11" t="s">
        <v>467</v>
      </c>
      <c r="B11" s="4">
        <f>'12-Hypothèses'!C25</f>
        <v>20</v>
      </c>
      <c r="C11" t="s">
        <v>468</v>
      </c>
      <c r="D11" s="1"/>
      <c r="E11" s="1">
        <f>('6-Conversion magnitude'!E2)/10^(0.4*B11)*'12-Hypothèses'!C35*'12-Hypothèses'!C42*'12-Hypothèses'!C55*'12-Hypothèses'!C50*('12-Hypothèses'!C53-'12-Hypothèses'!C52)/0.000001*(('12-Hypothèses'!C44/'12-Hypothèses'!C36)^2)/(PI()/180/3600)^2</f>
        <v>996.4072256707898</v>
      </c>
      <c r="F11" s="6">
        <f>SQRT(E11)</f>
        <v>31.565918736364853</v>
      </c>
      <c r="G11" s="1">
        <f>'12-Hypothèses'!C54</f>
        <v>1.5</v>
      </c>
      <c r="H11" s="6"/>
      <c r="I11" s="49">
        <f>E11/SQRT(G11^2+F11^2)</f>
        <v>31.530339277872116</v>
      </c>
      <c r="J11" t="s">
        <v>469</v>
      </c>
    </row>
    <row r="12" spans="1:9" ht="12.75">
      <c r="A12" t="s">
        <v>470</v>
      </c>
      <c r="B12" s="4"/>
      <c r="D12" s="1"/>
      <c r="E12" s="1">
        <f>E11*B4</f>
        <v>143482.64049659373</v>
      </c>
      <c r="F12" s="6">
        <f>SQRT(E12)</f>
        <v>378.79102483637826</v>
      </c>
      <c r="G12">
        <f>G9</f>
        <v>18</v>
      </c>
      <c r="H12" s="6"/>
      <c r="I12" s="49">
        <f>E12/SQRT(G12^2+F12^2)</f>
        <v>378.36407133446534</v>
      </c>
    </row>
    <row r="13" spans="1:9" ht="12.75">
      <c r="A13" t="s">
        <v>471</v>
      </c>
      <c r="B13" s="4"/>
      <c r="D13" s="1"/>
      <c r="E13" s="1">
        <f>E11*B5</f>
        <v>573930.5619863749</v>
      </c>
      <c r="F13" s="6">
        <f>SQRT(E13)</f>
        <v>757.5820496727565</v>
      </c>
      <c r="G13">
        <f>SQRT(B5*'12-Hypothèses'!C54^2)</f>
        <v>36</v>
      </c>
      <c r="H13" s="6"/>
      <c r="I13" s="49">
        <f>E13/SQRT(G13^2+F13^2)</f>
        <v>756.7281426689307</v>
      </c>
    </row>
    <row r="14" spans="1:10" ht="12.75">
      <c r="A14" t="s">
        <v>472</v>
      </c>
      <c r="B14" s="4"/>
      <c r="D14" s="1"/>
      <c r="E14" s="1"/>
      <c r="F14" s="6"/>
      <c r="H14" s="6"/>
      <c r="I14" s="31">
        <f>E9/SQRT((F12^2)+(G12^2))</f>
        <v>4.538533879881919</v>
      </c>
      <c r="J14" t="s">
        <v>473</v>
      </c>
    </row>
    <row r="15" spans="1:10" ht="12.75">
      <c r="A15" t="s">
        <v>474</v>
      </c>
      <c r="B15" s="4"/>
      <c r="D15" s="1"/>
      <c r="E15" s="1"/>
      <c r="F15" s="6"/>
      <c r="H15" s="6"/>
      <c r="I15" s="31">
        <f>E10/SQRT((F12^2)+(G12^2))</f>
        <v>3.481818317116282</v>
      </c>
      <c r="J15" t="s">
        <v>475</v>
      </c>
    </row>
    <row r="16" spans="1:9" ht="12.75">
      <c r="A16" t="s">
        <v>476</v>
      </c>
      <c r="B16" s="4">
        <f>(LOG10('12-Hypothèses'!$C$61)-LOG10(C16))/0.4</f>
        <v>19.247425010840047</v>
      </c>
      <c r="C16">
        <f>C9+C10</f>
        <v>5.0799999999999806E-14</v>
      </c>
      <c r="E16" s="1">
        <f>E9+E10+E12</f>
        <v>146524.106106368</v>
      </c>
      <c r="F16" s="6">
        <f>SQRT(E16)</f>
        <v>382.7846732908307</v>
      </c>
      <c r="G16">
        <f>G10</f>
        <v>18</v>
      </c>
      <c r="H16" s="6">
        <f>E16/F16</f>
        <v>382.7846732908307</v>
      </c>
      <c r="I16" s="49">
        <f>E16/SQRT(G16^2+F16^2)</f>
        <v>382.36215943458257</v>
      </c>
    </row>
    <row r="17" spans="1:8" ht="12.75">
      <c r="A17" t="s">
        <v>477</v>
      </c>
      <c r="B17" s="4"/>
      <c r="E17" s="1">
        <f>E9+E10</f>
        <v>3041.465609774279</v>
      </c>
      <c r="F17" s="6">
        <f>SQRT((F16^2)+(F13^2))</f>
        <v>848.7960108840892</v>
      </c>
      <c r="H17" s="6"/>
    </row>
    <row r="18" spans="1:10" ht="12.75">
      <c r="A18" s="2" t="s">
        <v>478</v>
      </c>
      <c r="B18" s="4">
        <f>(LOG10('12-Hypothèses'!$C$61)-LOG10(C18))/0.4</f>
        <v>20</v>
      </c>
      <c r="C18">
        <f>C9</f>
        <v>2.5399999999999903E-14</v>
      </c>
      <c r="E18" s="1">
        <f>E9</f>
        <v>1721.0958291361158</v>
      </c>
      <c r="F18" s="6">
        <f>SQRT(F9^2+F10^2+F12^2+F13^2)</f>
        <v>848.7960108840892</v>
      </c>
      <c r="G18" s="7">
        <f>G10</f>
        <v>18</v>
      </c>
      <c r="H18" s="6">
        <f>E18/F18</f>
        <v>2.0276907608736945</v>
      </c>
      <c r="I18" s="31">
        <f>E18/SQRT(G18^2+F18^2)</f>
        <v>2.02723497209852</v>
      </c>
      <c r="J18" t="s">
        <v>479</v>
      </c>
    </row>
    <row r="21" ht="12.75">
      <c r="A21" t="s">
        <v>480</v>
      </c>
    </row>
    <row r="22" spans="1:3" ht="12.75">
      <c r="A22" t="s">
        <v>481</v>
      </c>
      <c r="B22">
        <f>180/PI()*2*ATAN('12-Hypothèses'!C48/2/'12-Hypothèses'!$C$36)</f>
        <v>1.4718722817133965</v>
      </c>
      <c r="C22" t="s">
        <v>376</v>
      </c>
    </row>
    <row r="23" spans="1:5" ht="12.75">
      <c r="A23" t="s">
        <v>482</v>
      </c>
      <c r="B23">
        <f>180/PI()*2*ATAN('12-Hypothèses'!C49/2/'12-Hypothèses'!$C$36)</f>
        <v>0.9812781676729327</v>
      </c>
      <c r="C23" t="s">
        <v>376</v>
      </c>
      <c r="E23" s="9"/>
    </row>
    <row r="24" spans="1:10" ht="12.75">
      <c r="A24" t="s">
        <v>483</v>
      </c>
      <c r="B24">
        <f>B22*B23</f>
        <v>1.4443161356483003</v>
      </c>
      <c r="C24" t="s">
        <v>484</v>
      </c>
      <c r="J24" s="2"/>
    </row>
    <row r="25" spans="1:2" ht="12.75">
      <c r="A25" t="s">
        <v>485</v>
      </c>
      <c r="B25">
        <f>'12-Hypothèses'!C6</f>
        <v>20</v>
      </c>
    </row>
    <row r="26" spans="1:3" ht="12.75">
      <c r="A26" t="s">
        <v>486</v>
      </c>
      <c r="B26">
        <f>'12-Hypothèses'!C55/60</f>
        <v>1</v>
      </c>
      <c r="C26" t="s">
        <v>487</v>
      </c>
    </row>
    <row r="27" spans="1:2" ht="12.75">
      <c r="A27" t="s">
        <v>488</v>
      </c>
      <c r="B27" s="19">
        <f>B24*(10^((B25-20)/5)/B26)</f>
        <v>1.4443161356483003</v>
      </c>
    </row>
  </sheetData>
  <sheetProtection/>
  <printOptions/>
  <pageMargins left="0.7868055555555555" right="0.7868055555555555" top="0.9840277777777777" bottom="0.9840277777777777" header="0.49166666666666664" footer="0.49166666666666664"/>
  <pageSetup horizontalDpi="30066" verticalDpi="30066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36" sqref="D36"/>
    </sheetView>
  </sheetViews>
  <sheetFormatPr defaultColWidth="11.00390625" defaultRowHeight="12.75"/>
  <cols>
    <col min="1" max="13" width="2.7109375" style="0" customWidth="1"/>
  </cols>
  <sheetData>
    <row r="1" ht="12.75">
      <c r="A1" t="s">
        <v>489</v>
      </c>
    </row>
    <row r="2" ht="12.75">
      <c r="A2">
        <v>1</v>
      </c>
    </row>
    <row r="4" spans="1:2" ht="12.75">
      <c r="A4">
        <v>1</v>
      </c>
      <c r="B4">
        <v>1</v>
      </c>
    </row>
    <row r="5" spans="1:2" ht="12.75">
      <c r="A5">
        <v>1</v>
      </c>
      <c r="B5">
        <v>1</v>
      </c>
    </row>
    <row r="7" ht="12.75">
      <c r="B7">
        <v>1</v>
      </c>
    </row>
    <row r="8" spans="1:3" ht="12.75">
      <c r="A8">
        <v>1</v>
      </c>
      <c r="B8">
        <v>1</v>
      </c>
      <c r="C8">
        <v>1</v>
      </c>
    </row>
    <row r="9" ht="12.75">
      <c r="B9">
        <v>1</v>
      </c>
    </row>
    <row r="11" spans="1:3" ht="12.75">
      <c r="A11">
        <v>1</v>
      </c>
      <c r="B11">
        <v>1</v>
      </c>
      <c r="C11">
        <v>1</v>
      </c>
    </row>
    <row r="12" spans="1:3" ht="12.75">
      <c r="A12">
        <v>1</v>
      </c>
      <c r="B12">
        <v>1</v>
      </c>
      <c r="C12">
        <v>1</v>
      </c>
    </row>
    <row r="13" spans="1:3" ht="12.75">
      <c r="A13">
        <v>1</v>
      </c>
      <c r="B13">
        <v>1</v>
      </c>
      <c r="C13">
        <v>1</v>
      </c>
    </row>
    <row r="15" spans="2:3" ht="12.75">
      <c r="B15">
        <v>1</v>
      </c>
      <c r="C15">
        <v>1</v>
      </c>
    </row>
    <row r="16" spans="1:4" ht="12.75">
      <c r="A16">
        <v>1</v>
      </c>
      <c r="B16">
        <v>1</v>
      </c>
      <c r="C16">
        <v>1</v>
      </c>
      <c r="D16">
        <v>1</v>
      </c>
    </row>
    <row r="17" spans="1:4" ht="12.75">
      <c r="A17">
        <v>1</v>
      </c>
      <c r="B17">
        <v>1</v>
      </c>
      <c r="C17">
        <v>1</v>
      </c>
      <c r="D17">
        <v>1</v>
      </c>
    </row>
    <row r="18" spans="2:3" ht="12.75">
      <c r="B18">
        <v>1</v>
      </c>
      <c r="C18">
        <v>1</v>
      </c>
    </row>
    <row r="20" spans="1:4" ht="12.75">
      <c r="A20">
        <v>1</v>
      </c>
      <c r="B20">
        <v>1</v>
      </c>
      <c r="C20">
        <v>1</v>
      </c>
      <c r="D20">
        <v>1</v>
      </c>
    </row>
    <row r="21" spans="1:4" ht="12.75">
      <c r="A21">
        <v>1</v>
      </c>
      <c r="B21">
        <v>1</v>
      </c>
      <c r="C21">
        <v>1</v>
      </c>
      <c r="D21">
        <v>1</v>
      </c>
    </row>
    <row r="22" spans="1:4" ht="12.75">
      <c r="A22">
        <v>1</v>
      </c>
      <c r="B22">
        <v>1</v>
      </c>
      <c r="C22">
        <v>1</v>
      </c>
      <c r="D22">
        <v>1</v>
      </c>
    </row>
    <row r="23" spans="1:4" ht="12.75">
      <c r="A23">
        <v>1</v>
      </c>
      <c r="B23">
        <v>1</v>
      </c>
      <c r="C23">
        <v>1</v>
      </c>
      <c r="D23">
        <v>1</v>
      </c>
    </row>
    <row r="25" ht="12.75">
      <c r="C25">
        <v>1</v>
      </c>
    </row>
    <row r="26" spans="2:4" ht="12.75">
      <c r="B26">
        <v>1</v>
      </c>
      <c r="C26">
        <v>1</v>
      </c>
      <c r="D26">
        <v>1</v>
      </c>
    </row>
    <row r="27" spans="1:5" ht="12.75">
      <c r="A27">
        <v>1</v>
      </c>
      <c r="B27">
        <v>1</v>
      </c>
      <c r="C27">
        <v>1</v>
      </c>
      <c r="D27">
        <v>1</v>
      </c>
      <c r="E27">
        <v>1</v>
      </c>
    </row>
    <row r="28" spans="2:4" ht="12.75">
      <c r="B28">
        <v>1</v>
      </c>
      <c r="C28">
        <v>1</v>
      </c>
      <c r="D28">
        <v>1</v>
      </c>
    </row>
    <row r="29" ht="12.75">
      <c r="C29">
        <v>1</v>
      </c>
    </row>
    <row r="31" spans="2:4" ht="12.75">
      <c r="B31">
        <v>1</v>
      </c>
      <c r="C31">
        <v>1</v>
      </c>
      <c r="D31">
        <v>1</v>
      </c>
    </row>
    <row r="32" spans="1:5" ht="12.75">
      <c r="A32">
        <v>1</v>
      </c>
      <c r="B32">
        <v>1</v>
      </c>
      <c r="C32">
        <v>1</v>
      </c>
      <c r="D32">
        <v>1</v>
      </c>
      <c r="E32">
        <v>1</v>
      </c>
    </row>
    <row r="33" spans="1:5" ht="12.75">
      <c r="A33">
        <v>1</v>
      </c>
      <c r="B33">
        <v>1</v>
      </c>
      <c r="C33">
        <v>1</v>
      </c>
      <c r="D33">
        <v>1</v>
      </c>
      <c r="E33">
        <v>1</v>
      </c>
    </row>
    <row r="34" spans="1:5" ht="12.75">
      <c r="A34">
        <v>1</v>
      </c>
      <c r="B34">
        <v>1</v>
      </c>
      <c r="C34">
        <v>1</v>
      </c>
      <c r="D34">
        <v>1</v>
      </c>
      <c r="E34">
        <v>1</v>
      </c>
    </row>
    <row r="35" spans="2:4" ht="12.75">
      <c r="B35">
        <v>1</v>
      </c>
      <c r="C35">
        <v>1</v>
      </c>
      <c r="D35">
        <v>1</v>
      </c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L1" sqref="L1"/>
    </sheetView>
  </sheetViews>
  <sheetFormatPr defaultColWidth="10.00390625" defaultRowHeight="12.75"/>
  <cols>
    <col min="1" max="1" width="11.00390625" style="0" bestFit="1" customWidth="1"/>
  </cols>
  <sheetData>
    <row r="1" spans="1:7" ht="12.75">
      <c r="A1" s="2" t="s">
        <v>181</v>
      </c>
      <c r="B1" t="s">
        <v>490</v>
      </c>
      <c r="C1" t="s">
        <v>491</v>
      </c>
      <c r="G1" t="s">
        <v>492</v>
      </c>
    </row>
    <row r="2" spans="1:11" ht="12.75">
      <c r="A2" t="s">
        <v>120</v>
      </c>
      <c r="B2" t="s">
        <v>208</v>
      </c>
      <c r="C2" t="s">
        <v>208</v>
      </c>
      <c r="D2" t="s">
        <v>209</v>
      </c>
      <c r="E2" t="s">
        <v>210</v>
      </c>
      <c r="F2" t="s">
        <v>230</v>
      </c>
      <c r="G2" t="s">
        <v>220</v>
      </c>
      <c r="H2" t="s">
        <v>226</v>
      </c>
      <c r="I2" t="s">
        <v>228</v>
      </c>
      <c r="J2" t="s">
        <v>234</v>
      </c>
      <c r="K2" t="s">
        <v>240</v>
      </c>
    </row>
    <row r="3" ht="12.75">
      <c r="A3" s="1">
        <v>2.7E-07</v>
      </c>
    </row>
    <row r="4" ht="12.75">
      <c r="A4" s="1">
        <v>2.8E-07</v>
      </c>
    </row>
    <row r="5" ht="12.75">
      <c r="A5" s="1">
        <v>2.9E-07</v>
      </c>
    </row>
    <row r="6" ht="12.75">
      <c r="A6" s="1">
        <v>3E-07</v>
      </c>
    </row>
    <row r="7" ht="12.75">
      <c r="A7" s="1">
        <v>3.1E-07</v>
      </c>
    </row>
    <row r="8" ht="12.75">
      <c r="A8" s="1">
        <v>3.2E-07</v>
      </c>
    </row>
    <row r="9" ht="12.75">
      <c r="A9" s="1">
        <v>3.3E-07</v>
      </c>
    </row>
    <row r="10" ht="12.75">
      <c r="A10" s="1">
        <v>3.4E-07</v>
      </c>
    </row>
    <row r="11" ht="12.75">
      <c r="A11" s="1">
        <v>3.5E-07</v>
      </c>
    </row>
    <row r="12" ht="12.75">
      <c r="A12" s="1">
        <v>3.6E-07</v>
      </c>
    </row>
    <row r="13" ht="12.75">
      <c r="A13" s="1">
        <v>3.7E-07</v>
      </c>
    </row>
    <row r="14" ht="12.75">
      <c r="A14" s="1">
        <v>3.8E-07</v>
      </c>
    </row>
    <row r="15" ht="12.75">
      <c r="A15" s="1">
        <v>3.9E-07</v>
      </c>
    </row>
    <row r="16" ht="12.75">
      <c r="A16" s="1">
        <v>4E-07</v>
      </c>
    </row>
    <row r="17" ht="12.75">
      <c r="A17" s="1">
        <v>4.1E-07</v>
      </c>
    </row>
    <row r="18" ht="12.75">
      <c r="A18" s="1">
        <v>4.2E-07</v>
      </c>
    </row>
    <row r="19" ht="12.75">
      <c r="A19" s="1">
        <v>4.3E-07</v>
      </c>
    </row>
    <row r="20" ht="12.75">
      <c r="A20" s="1">
        <v>4.4E-07</v>
      </c>
    </row>
    <row r="21" ht="12.75">
      <c r="A21" s="1">
        <v>4.5E-07</v>
      </c>
    </row>
    <row r="22" ht="12.75">
      <c r="A22" s="1">
        <v>4.6E-07</v>
      </c>
    </row>
    <row r="23" ht="12.75">
      <c r="A23" s="1">
        <v>4.7E-07</v>
      </c>
    </row>
    <row r="24" ht="12.75">
      <c r="A24" s="1">
        <v>4.8E-07</v>
      </c>
    </row>
    <row r="25" ht="12.75">
      <c r="A25" s="1">
        <v>4.9E-07</v>
      </c>
    </row>
    <row r="26" ht="12.75">
      <c r="A26" s="1">
        <v>5E-07</v>
      </c>
    </row>
    <row r="27" ht="12.75">
      <c r="A27" s="1">
        <v>5.1E-07</v>
      </c>
    </row>
    <row r="28" ht="12.75">
      <c r="A28" s="1">
        <v>5.2E-07</v>
      </c>
    </row>
    <row r="29" ht="12.75">
      <c r="A29" s="1">
        <v>5.3E-07</v>
      </c>
    </row>
    <row r="30" ht="12.75">
      <c r="A30" s="1">
        <v>5.4E-07</v>
      </c>
    </row>
    <row r="31" ht="12.75">
      <c r="A31" s="1">
        <v>5.5E-07</v>
      </c>
    </row>
    <row r="32" ht="12.75">
      <c r="A32" s="1">
        <v>5.6E-07</v>
      </c>
    </row>
    <row r="33" ht="12.75">
      <c r="A33" s="1">
        <v>5.7E-07</v>
      </c>
    </row>
    <row r="34" ht="12.75">
      <c r="A34" s="1">
        <v>5.8E-07</v>
      </c>
    </row>
    <row r="35" ht="12.75">
      <c r="A35" s="1">
        <v>5.9E-07</v>
      </c>
    </row>
    <row r="36" ht="12.75">
      <c r="A36" s="1">
        <v>6E-07</v>
      </c>
    </row>
    <row r="37" ht="12.75">
      <c r="A37" s="1">
        <v>6.1E-07</v>
      </c>
    </row>
    <row r="38" ht="12.75">
      <c r="A38" s="1">
        <v>6.2E-07</v>
      </c>
    </row>
    <row r="39" ht="12.75">
      <c r="A39" s="1">
        <v>6.3E-07</v>
      </c>
    </row>
    <row r="40" ht="12.75">
      <c r="A40" s="1">
        <v>6.4E-07</v>
      </c>
    </row>
    <row r="41" ht="12.75">
      <c r="A41" s="1">
        <v>6.5E-07</v>
      </c>
    </row>
    <row r="42" ht="12.75">
      <c r="A42" s="1">
        <v>6.6E-07</v>
      </c>
    </row>
    <row r="43" ht="12.75">
      <c r="A43" s="1">
        <v>6.7E-07</v>
      </c>
    </row>
    <row r="44" ht="12.75">
      <c r="A44" s="1">
        <v>6.8E-07</v>
      </c>
    </row>
    <row r="45" ht="12.75">
      <c r="A45" s="1">
        <v>6.9E-07</v>
      </c>
    </row>
    <row r="46" ht="12.75">
      <c r="A46" s="1">
        <v>7E-07</v>
      </c>
    </row>
    <row r="47" ht="12.75">
      <c r="A47" s="1">
        <v>7.1E-07</v>
      </c>
    </row>
    <row r="48" ht="12.75">
      <c r="A48" s="1">
        <v>7.2E-07</v>
      </c>
    </row>
    <row r="49" ht="12.75">
      <c r="A49" s="1">
        <v>7.3E-07</v>
      </c>
    </row>
    <row r="50" ht="12.75">
      <c r="A50" s="1">
        <v>7.4E-07</v>
      </c>
    </row>
    <row r="51" ht="12.75">
      <c r="A51" s="1">
        <v>7.5E-07</v>
      </c>
    </row>
    <row r="52" ht="12.75">
      <c r="A52" s="1">
        <v>7.6E-07</v>
      </c>
    </row>
    <row r="53" ht="12.75">
      <c r="A53" s="1">
        <v>7.70000000000001E-07</v>
      </c>
    </row>
    <row r="54" ht="12.75">
      <c r="A54" s="1">
        <v>7.80000000000001E-07</v>
      </c>
    </row>
    <row r="55" ht="12.75">
      <c r="A55" s="1">
        <v>7.90000000000001E-07</v>
      </c>
    </row>
    <row r="56" ht="12.75">
      <c r="A56" s="1">
        <v>8.00000000000001E-07</v>
      </c>
    </row>
    <row r="57" ht="12.75">
      <c r="A57" s="1">
        <v>8.10000000000001E-07</v>
      </c>
    </row>
    <row r="58" ht="12.75">
      <c r="A58" s="1">
        <v>8.20000000000001E-07</v>
      </c>
    </row>
    <row r="59" ht="12.75">
      <c r="A59" s="1">
        <v>8.30000000000001E-07</v>
      </c>
    </row>
    <row r="60" ht="12.75">
      <c r="A60" s="1">
        <v>8.40000000000001E-07</v>
      </c>
    </row>
    <row r="61" ht="12.75">
      <c r="A61" s="1">
        <v>8.50000000000001E-07</v>
      </c>
    </row>
    <row r="62" ht="12.75">
      <c r="A62" s="1">
        <v>8.60000000000001E-07</v>
      </c>
    </row>
    <row r="63" ht="12.75">
      <c r="A63" s="1">
        <v>8.70000000000001E-07</v>
      </c>
    </row>
    <row r="64" ht="12.75">
      <c r="A64" s="1">
        <v>8.80000000000001E-07</v>
      </c>
    </row>
    <row r="65" ht="12.75">
      <c r="A65" s="1">
        <v>8.90000000000001E-07</v>
      </c>
    </row>
    <row r="66" ht="12.75">
      <c r="A66" s="1">
        <v>9.00000000000001E-07</v>
      </c>
    </row>
    <row r="67" ht="12.75">
      <c r="A67" s="1">
        <v>9.10000000000001E-07</v>
      </c>
    </row>
    <row r="68" ht="12.75">
      <c r="A68" s="1">
        <v>9.20000000000001E-07</v>
      </c>
    </row>
    <row r="69" ht="12.75">
      <c r="A69" s="1">
        <v>9.30000000000001E-07</v>
      </c>
    </row>
    <row r="70" ht="12.75">
      <c r="A70" s="1">
        <v>9.40000000000001E-07</v>
      </c>
    </row>
    <row r="71" ht="12.75">
      <c r="A71" s="1">
        <v>9.50000000000001E-07</v>
      </c>
    </row>
    <row r="72" ht="12.75">
      <c r="A72" s="1">
        <v>9.60000000000001E-07</v>
      </c>
    </row>
    <row r="73" ht="12.75">
      <c r="A73" s="1">
        <v>9.70000000000001E-07</v>
      </c>
    </row>
    <row r="74" ht="12.75">
      <c r="A74" s="1">
        <v>9.80000000000001E-07</v>
      </c>
    </row>
    <row r="75" ht="12.75">
      <c r="A75" s="1">
        <v>9.90000000000001E-07</v>
      </c>
    </row>
    <row r="76" ht="12.75">
      <c r="A76" s="1">
        <v>1E-06</v>
      </c>
    </row>
    <row r="77" ht="12.75">
      <c r="A77" s="1">
        <v>1.01E-06</v>
      </c>
    </row>
    <row r="78" ht="12.75">
      <c r="A78" s="1">
        <v>1.02E-06</v>
      </c>
    </row>
    <row r="79" ht="12.75">
      <c r="A79" s="1">
        <v>1.03E-06</v>
      </c>
    </row>
    <row r="80" ht="12.75">
      <c r="A80" s="1">
        <v>1.04E-06</v>
      </c>
    </row>
    <row r="81" ht="12.75">
      <c r="A81" s="1">
        <v>1.05E-06</v>
      </c>
    </row>
    <row r="82" ht="12.75">
      <c r="A82" s="1">
        <v>1.06E-06</v>
      </c>
    </row>
    <row r="83" ht="12.75">
      <c r="A83" s="1">
        <v>1.07E-06</v>
      </c>
    </row>
    <row r="84" ht="12.75">
      <c r="A84" s="1">
        <v>1.08E-06</v>
      </c>
    </row>
    <row r="85" ht="12.75">
      <c r="A85" s="1">
        <v>1.09E-06</v>
      </c>
    </row>
    <row r="86" ht="12.75">
      <c r="A86" s="1">
        <v>1.1E-06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8" sqref="E28"/>
    </sheetView>
  </sheetViews>
  <sheetFormatPr defaultColWidth="11.00390625" defaultRowHeight="12.75"/>
  <cols>
    <col min="1" max="1" width="4.57421875" style="0" customWidth="1"/>
    <col min="2" max="2" width="23.7109375" style="0" customWidth="1"/>
    <col min="3" max="3" width="10.00390625" style="0" customWidth="1"/>
  </cols>
  <sheetData>
    <row r="1" spans="1:4" ht="12.75">
      <c r="A1" t="s">
        <v>85</v>
      </c>
      <c r="C1" t="s">
        <v>86</v>
      </c>
      <c r="D1" t="s">
        <v>87</v>
      </c>
    </row>
    <row r="2" spans="1:5" ht="12.75">
      <c r="A2" t="s">
        <v>88</v>
      </c>
      <c r="B2">
        <v>9192631770</v>
      </c>
      <c r="C2" t="s">
        <v>89</v>
      </c>
      <c r="D2">
        <v>0</v>
      </c>
      <c r="E2" t="s">
        <v>90</v>
      </c>
    </row>
    <row r="3" spans="1:5" ht="12.75">
      <c r="A3" t="s">
        <v>91</v>
      </c>
      <c r="B3">
        <v>299792458</v>
      </c>
      <c r="C3" t="s">
        <v>92</v>
      </c>
      <c r="D3">
        <v>0</v>
      </c>
      <c r="E3" t="s">
        <v>93</v>
      </c>
    </row>
    <row r="4" spans="1:5" ht="12.75">
      <c r="A4" t="s">
        <v>94</v>
      </c>
      <c r="B4">
        <v>6.62607015E-34</v>
      </c>
      <c r="C4" t="s">
        <v>95</v>
      </c>
      <c r="D4">
        <v>0</v>
      </c>
      <c r="E4" t="s">
        <v>96</v>
      </c>
    </row>
    <row r="5" spans="1:4" ht="12.75">
      <c r="A5" t="s">
        <v>97</v>
      </c>
      <c r="B5">
        <v>1.602176634E-19</v>
      </c>
      <c r="C5" t="s">
        <v>98</v>
      </c>
      <c r="D5">
        <v>0</v>
      </c>
    </row>
    <row r="6" spans="1:5" ht="12.75">
      <c r="A6" t="s">
        <v>99</v>
      </c>
      <c r="B6">
        <v>1.380649E-23</v>
      </c>
      <c r="C6" t="s">
        <v>100</v>
      </c>
      <c r="D6">
        <v>0</v>
      </c>
      <c r="E6" t="s">
        <v>101</v>
      </c>
    </row>
    <row r="7" spans="1:5" ht="12.75">
      <c r="A7" t="s">
        <v>102</v>
      </c>
      <c r="B7">
        <v>6.022140176E+23</v>
      </c>
      <c r="C7" t="s">
        <v>103</v>
      </c>
      <c r="D7">
        <v>0</v>
      </c>
      <c r="E7" t="s">
        <v>104</v>
      </c>
    </row>
    <row r="8" spans="1:5" ht="15">
      <c r="A8" s="30" t="s">
        <v>105</v>
      </c>
      <c r="B8">
        <v>683</v>
      </c>
      <c r="C8" t="s">
        <v>106</v>
      </c>
      <c r="D8">
        <v>0</v>
      </c>
      <c r="E8" t="s">
        <v>107</v>
      </c>
    </row>
    <row r="9" spans="1:5" ht="15">
      <c r="A9" s="30" t="s">
        <v>108</v>
      </c>
      <c r="B9" s="37">
        <f>2*(PI()^5)*(B6^4)/15/(B4^3)/(B3^2)</f>
        <v>5.670374419184433E-08</v>
      </c>
      <c r="C9" t="s">
        <v>109</v>
      </c>
      <c r="E9" t="s">
        <v>110</v>
      </c>
    </row>
    <row r="10" spans="1:5" ht="15">
      <c r="A10" s="30" t="s">
        <v>108</v>
      </c>
      <c r="B10" s="37">
        <v>5.670375E-08</v>
      </c>
      <c r="C10" t="s">
        <v>109</v>
      </c>
      <c r="D10" s="1">
        <v>2.3E-06</v>
      </c>
      <c r="E10" t="s">
        <v>110</v>
      </c>
    </row>
    <row r="11" spans="1:4" ht="12.75">
      <c r="A11" t="s">
        <v>111</v>
      </c>
      <c r="B11">
        <f>PI()</f>
        <v>3.141592653589793</v>
      </c>
      <c r="D11" s="1">
        <v>1E-15</v>
      </c>
    </row>
    <row r="12" spans="1:5" ht="12.75">
      <c r="A12" t="s">
        <v>112</v>
      </c>
      <c r="B12">
        <f>B11/180/3600</f>
        <v>4.84813681109536E-06</v>
      </c>
      <c r="C12" t="s">
        <v>113</v>
      </c>
      <c r="D12" s="1"/>
      <c r="E12" t="s">
        <v>114</v>
      </c>
    </row>
    <row r="13" spans="1:5" ht="12.75">
      <c r="A13" t="s">
        <v>115</v>
      </c>
      <c r="B13">
        <v>365.25</v>
      </c>
      <c r="C13" t="s">
        <v>116</v>
      </c>
      <c r="D13" s="1"/>
      <c r="E13" t="s">
        <v>117</v>
      </c>
    </row>
    <row r="14" spans="1:4" ht="12.75">
      <c r="A14" t="s">
        <v>115</v>
      </c>
      <c r="B14">
        <f>B13*24*3600</f>
        <v>31557600</v>
      </c>
      <c r="C14" t="s">
        <v>118</v>
      </c>
      <c r="D14" s="1"/>
    </row>
    <row r="15" spans="1:5" ht="12.75">
      <c r="A15" t="s">
        <v>119</v>
      </c>
      <c r="B15">
        <v>149597870700</v>
      </c>
      <c r="C15" t="s">
        <v>120</v>
      </c>
      <c r="D15">
        <v>0</v>
      </c>
      <c r="E15" t="s">
        <v>121</v>
      </c>
    </row>
    <row r="16" spans="1:5" ht="12.75">
      <c r="A16" t="s">
        <v>122</v>
      </c>
      <c r="B16" s="39">
        <v>147105000000</v>
      </c>
      <c r="C16" t="s">
        <v>123</v>
      </c>
      <c r="E16" t="s">
        <v>124</v>
      </c>
    </row>
    <row r="17" spans="1:5" ht="12.75">
      <c r="A17" t="s">
        <v>125</v>
      </c>
      <c r="B17" s="39">
        <v>152098000000</v>
      </c>
      <c r="C17" t="s">
        <v>123</v>
      </c>
      <c r="E17" t="s">
        <v>126</v>
      </c>
    </row>
    <row r="18" spans="1:5" ht="12.75">
      <c r="A18" t="s">
        <v>127</v>
      </c>
      <c r="B18" s="40">
        <f>B3*3600*24*365.25</f>
        <v>9460730472580800</v>
      </c>
      <c r="C18" t="s">
        <v>123</v>
      </c>
      <c r="E18" t="s">
        <v>128</v>
      </c>
    </row>
    <row r="19" spans="1:5" ht="12.75">
      <c r="A19" t="s">
        <v>129</v>
      </c>
      <c r="B19" s="40">
        <f>1/(PI()/180/3600)</f>
        <v>206264.80624709636</v>
      </c>
      <c r="C19" t="s">
        <v>130</v>
      </c>
      <c r="E19" t="s">
        <v>131</v>
      </c>
    </row>
    <row r="20" spans="1:5" ht="12.75">
      <c r="A20" t="s">
        <v>129</v>
      </c>
      <c r="B20" s="40">
        <f>B15/(PI()/180/3600)</f>
        <v>30856775814913670</v>
      </c>
      <c r="C20" t="s">
        <v>123</v>
      </c>
      <c r="E20" t="s">
        <v>131</v>
      </c>
    </row>
    <row r="21" spans="1:5" ht="12.75">
      <c r="A21" t="s">
        <v>129</v>
      </c>
      <c r="B21" s="40">
        <f>B20/B18</f>
        <v>3.2615637771674333</v>
      </c>
      <c r="C21" t="s">
        <v>127</v>
      </c>
      <c r="E21" t="s">
        <v>131</v>
      </c>
    </row>
    <row r="22" spans="1:5" ht="12.75">
      <c r="A22" t="s">
        <v>132</v>
      </c>
      <c r="B22" s="40">
        <v>6.67428E-11</v>
      </c>
      <c r="C22" t="s">
        <v>133</v>
      </c>
      <c r="D22" s="41">
        <v>6.7E-15</v>
      </c>
      <c r="E22" t="s">
        <v>134</v>
      </c>
    </row>
    <row r="23" spans="1:5" ht="12.75">
      <c r="A23" t="s">
        <v>135</v>
      </c>
      <c r="B23" s="40">
        <v>1.32712440041E+20</v>
      </c>
      <c r="C23" t="s">
        <v>136</v>
      </c>
      <c r="D23" s="1">
        <v>10000000000</v>
      </c>
      <c r="E23" t="s">
        <v>137</v>
      </c>
    </row>
    <row r="24" spans="1:5" ht="12.75">
      <c r="A24" t="s">
        <v>138</v>
      </c>
      <c r="B24" s="1">
        <v>695508000</v>
      </c>
      <c r="C24" t="s">
        <v>120</v>
      </c>
      <c r="D24" s="1">
        <v>26000</v>
      </c>
      <c r="E24" t="s">
        <v>139</v>
      </c>
    </row>
    <row r="25" spans="1:5" ht="12.75">
      <c r="A25" t="s">
        <v>140</v>
      </c>
      <c r="B25" s="1">
        <v>383398000</v>
      </c>
      <c r="C25" t="s">
        <v>123</v>
      </c>
      <c r="D25" s="1"/>
      <c r="E25" t="s">
        <v>141</v>
      </c>
    </row>
    <row r="26" spans="1:5" ht="12.75">
      <c r="A26" t="s">
        <v>142</v>
      </c>
      <c r="B26" s="1"/>
      <c r="D26" s="1"/>
      <c r="E26" t="s">
        <v>143</v>
      </c>
    </row>
    <row r="27" spans="1:5" ht="12.75">
      <c r="A27" t="s">
        <v>144</v>
      </c>
      <c r="B27" s="1"/>
      <c r="D27" s="1"/>
      <c r="E27" t="s">
        <v>145</v>
      </c>
    </row>
    <row r="28" spans="1:5" ht="12.75">
      <c r="A28" t="s">
        <v>146</v>
      </c>
      <c r="B28" s="1">
        <v>2.54E-06</v>
      </c>
      <c r="C28" t="s">
        <v>147</v>
      </c>
      <c r="E28" t="s">
        <v>148</v>
      </c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0" sqref="C30"/>
    </sheetView>
  </sheetViews>
  <sheetFormatPr defaultColWidth="10.00390625" defaultRowHeight="12.75"/>
  <cols>
    <col min="1" max="4" width="11.00390625" style="0" bestFit="1" customWidth="1"/>
    <col min="5" max="5" width="12.421875" style="0" bestFit="1" customWidth="1"/>
    <col min="6" max="16384" width="11.00390625" style="0" bestFit="1" customWidth="1"/>
  </cols>
  <sheetData>
    <row r="1" spans="1:7" ht="12.75">
      <c r="A1" s="2" t="s">
        <v>149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</row>
    <row r="2" spans="2:5" ht="12.75">
      <c r="B2">
        <v>360</v>
      </c>
      <c r="E2">
        <f>2*PI()</f>
        <v>6.283185307179586</v>
      </c>
    </row>
    <row r="3" spans="2:5" ht="12.75">
      <c r="B3">
        <v>180</v>
      </c>
      <c r="E3">
        <f>PI()</f>
        <v>3.141592653589793</v>
      </c>
    </row>
    <row r="4" spans="2:5" ht="12.75">
      <c r="B4">
        <v>90</v>
      </c>
      <c r="E4">
        <f>PI()/2</f>
        <v>1.5707963267948966</v>
      </c>
    </row>
    <row r="5" spans="2:6" ht="12.75">
      <c r="B5">
        <v>1</v>
      </c>
      <c r="E5">
        <f>E3/B3</f>
        <v>0.017453292519943295</v>
      </c>
      <c r="F5" s="44">
        <f>E5*1000</f>
        <v>17.453292519943297</v>
      </c>
    </row>
    <row r="6" spans="3:7" ht="12.75">
      <c r="C6">
        <v>1</v>
      </c>
      <c r="E6">
        <f>E5/60</f>
        <v>0.0002908882086657216</v>
      </c>
      <c r="F6" s="44">
        <f>E6*1000</f>
        <v>0.29088820866572157</v>
      </c>
      <c r="G6" s="4">
        <f>F6*1000</f>
        <v>290.88820866572155</v>
      </c>
    </row>
    <row r="7" spans="4:7" ht="12.75">
      <c r="D7">
        <v>1</v>
      </c>
      <c r="E7">
        <f>E6/60</f>
        <v>4.84813681109536E-06</v>
      </c>
      <c r="F7" s="44">
        <f>E7*1000</f>
        <v>0.0048481368110953596</v>
      </c>
      <c r="G7" s="4">
        <f>F7*1000</f>
        <v>4.84813681109536</v>
      </c>
    </row>
    <row r="8" spans="2:5" ht="12.75">
      <c r="B8">
        <f>B2/E2</f>
        <v>57.29577951308232</v>
      </c>
      <c r="E8">
        <v>1</v>
      </c>
    </row>
    <row r="9" spans="2:6" ht="12.75">
      <c r="B9">
        <f>C9/60</f>
        <v>0.057295779513082325</v>
      </c>
      <c r="C9">
        <f>C6/F6</f>
        <v>3.4377467707849396</v>
      </c>
      <c r="D9">
        <f>C9*60</f>
        <v>206.26480624709637</v>
      </c>
      <c r="F9">
        <v>1</v>
      </c>
    </row>
    <row r="10" spans="4:7" ht="12.75">
      <c r="D10">
        <f>D7/G7</f>
        <v>0.20626480624709637</v>
      </c>
      <c r="G10">
        <v>1</v>
      </c>
    </row>
    <row r="11" spans="1:5" ht="12.75">
      <c r="A11" t="s">
        <v>156</v>
      </c>
      <c r="B11" t="s">
        <v>157</v>
      </c>
      <c r="C11" t="s">
        <v>158</v>
      </c>
      <c r="D11" t="s">
        <v>159</v>
      </c>
      <c r="E11" t="s">
        <v>160</v>
      </c>
    </row>
    <row r="12" spans="1:5" ht="12.75">
      <c r="A12" t="s">
        <v>161</v>
      </c>
      <c r="E12">
        <f>4*PI()</f>
        <v>12.566370614359172</v>
      </c>
    </row>
    <row r="13" spans="1:5" ht="12.75">
      <c r="A13" t="s">
        <v>162</v>
      </c>
      <c r="E13">
        <f>E12/2</f>
        <v>6.283185307179586</v>
      </c>
    </row>
    <row r="14" spans="2:5" ht="12.75">
      <c r="B14">
        <v>1</v>
      </c>
      <c r="E14">
        <f>E5*E5</f>
        <v>0.00030461741978670857</v>
      </c>
    </row>
    <row r="15" spans="3:5" ht="12.75">
      <c r="C15">
        <v>1</v>
      </c>
      <c r="E15">
        <f>E6*E6</f>
        <v>8.461594994075237E-08</v>
      </c>
    </row>
    <row r="16" spans="4:5" ht="12.75">
      <c r="D16">
        <v>1</v>
      </c>
      <c r="E16">
        <f>E7*E7</f>
        <v>2.3504430539097885E-11</v>
      </c>
    </row>
    <row r="17" ht="12.75">
      <c r="A17" t="s">
        <v>163</v>
      </c>
    </row>
    <row r="18" ht="12.75">
      <c r="E18" t="s">
        <v>164</v>
      </c>
    </row>
    <row r="19" spans="1:4" ht="12.75">
      <c r="A19" t="s">
        <v>165</v>
      </c>
      <c r="B19" t="s">
        <v>166</v>
      </c>
      <c r="C19">
        <v>0.1</v>
      </c>
      <c r="D19" t="s">
        <v>120</v>
      </c>
    </row>
    <row r="20" spans="1:4" ht="12.75">
      <c r="A20" t="s">
        <v>167</v>
      </c>
      <c r="B20" t="s">
        <v>168</v>
      </c>
      <c r="C20">
        <v>1</v>
      </c>
      <c r="D20" t="s">
        <v>120</v>
      </c>
    </row>
    <row r="21" spans="1:5" ht="12.75">
      <c r="A21" t="s">
        <v>169</v>
      </c>
      <c r="B21" t="s">
        <v>170</v>
      </c>
      <c r="C21">
        <f>ATAN(C19/2/C20)</f>
        <v>0.049958395721942765</v>
      </c>
      <c r="D21" t="s">
        <v>113</v>
      </c>
      <c r="E21">
        <f>C19/2/C20</f>
        <v>0.05</v>
      </c>
    </row>
    <row r="22" spans="1:5" ht="12.75">
      <c r="A22" t="s">
        <v>171</v>
      </c>
      <c r="B22" t="s">
        <v>172</v>
      </c>
      <c r="C22">
        <f>2*PI()*(1-COS(C21))</f>
        <v>0.007839286031065705</v>
      </c>
      <c r="D22" t="s">
        <v>160</v>
      </c>
      <c r="E22">
        <f>PI()*E21^2</f>
        <v>0.007853981633974483</v>
      </c>
    </row>
    <row r="23" spans="1:4" ht="12.75">
      <c r="A23" t="s">
        <v>173</v>
      </c>
      <c r="B23" t="s">
        <v>174</v>
      </c>
      <c r="D23" t="s">
        <v>120</v>
      </c>
    </row>
    <row r="24" spans="1:4" ht="12.75">
      <c r="A24" t="s">
        <v>175</v>
      </c>
      <c r="D24" t="s">
        <v>120</v>
      </c>
    </row>
    <row r="25" spans="1:4" ht="12.75">
      <c r="A25" t="s">
        <v>176</v>
      </c>
      <c r="B25" t="s">
        <v>177</v>
      </c>
      <c r="D25" t="s">
        <v>120</v>
      </c>
    </row>
    <row r="26" ht="12.75">
      <c r="A26" t="s">
        <v>178</v>
      </c>
    </row>
    <row r="27" ht="12.75">
      <c r="A27" t="s">
        <v>179</v>
      </c>
    </row>
    <row r="28" ht="12.75">
      <c r="A28" t="s">
        <v>180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E33" sqref="E33"/>
    </sheetView>
  </sheetViews>
  <sheetFormatPr defaultColWidth="10.00390625" defaultRowHeight="12.75"/>
  <cols>
    <col min="1" max="1" width="11.00390625" style="0" bestFit="1" customWidth="1"/>
    <col min="2" max="2" width="14.00390625" style="0" customWidth="1"/>
    <col min="3" max="5" width="12.421875" style="0" bestFit="1" customWidth="1"/>
    <col min="6" max="16384" width="11.00390625" style="0" bestFit="1" customWidth="1"/>
  </cols>
  <sheetData>
    <row r="1" spans="1:5" ht="12.75">
      <c r="A1" s="2" t="s">
        <v>181</v>
      </c>
      <c r="B1" s="2" t="s">
        <v>182</v>
      </c>
      <c r="C1" s="2" t="s">
        <v>183</v>
      </c>
      <c r="D1" s="2" t="s">
        <v>184</v>
      </c>
      <c r="E1" s="2" t="s">
        <v>184</v>
      </c>
    </row>
    <row r="2" spans="1:7" ht="12.75">
      <c r="A2" t="s">
        <v>120</v>
      </c>
      <c r="B2" t="s">
        <v>185</v>
      </c>
      <c r="D2" t="s">
        <v>186</v>
      </c>
      <c r="E2" t="s">
        <v>187</v>
      </c>
      <c r="G2" s="1"/>
    </row>
    <row r="3" spans="1:7" ht="12.75">
      <c r="A3" s="1">
        <v>2.7E-07</v>
      </c>
      <c r="B3">
        <f>'1-Cste Phys'!$B$4*'1-Cste Phys'!$B$3/A3</f>
        <v>7.357206878329365E-19</v>
      </c>
      <c r="G3" s="1"/>
    </row>
    <row r="4" spans="1:7" ht="12.75">
      <c r="A4" s="1">
        <v>2.8E-07</v>
      </c>
      <c r="B4">
        <f>'1-Cste Phys'!$B$4*'1-Cste Phys'!$B$3/A4</f>
        <v>7.094449489817602E-19</v>
      </c>
      <c r="G4" s="1"/>
    </row>
    <row r="5" spans="1:9" ht="12.75">
      <c r="A5" s="1">
        <v>2.9E-07</v>
      </c>
      <c r="B5">
        <f>'1-Cste Phys'!$B$4*'1-Cste Phys'!$B$3/A5</f>
        <v>6.849813300513547E-19</v>
      </c>
      <c r="I5" s="1"/>
    </row>
    <row r="6" spans="1:2" ht="12.75">
      <c r="A6" s="1">
        <v>3E-07</v>
      </c>
      <c r="B6">
        <f>'1-Cste Phys'!$B$4*'1-Cste Phys'!$B$3/A6</f>
        <v>6.621486190496429E-19</v>
      </c>
    </row>
    <row r="7" spans="1:2" ht="12.75">
      <c r="A7" s="1">
        <v>3.1E-07</v>
      </c>
      <c r="B7">
        <f>'1-Cste Phys'!$B$4*'1-Cste Phys'!$B$3/A7</f>
        <v>6.407889861770737E-19</v>
      </c>
    </row>
    <row r="8" spans="1:2" ht="12.75">
      <c r="A8" s="1">
        <v>3.2E-07</v>
      </c>
      <c r="B8">
        <f>'1-Cste Phys'!$B$4*'1-Cste Phys'!$B$3/A8</f>
        <v>6.207643303590402E-19</v>
      </c>
    </row>
    <row r="9" spans="1:2" ht="12.75">
      <c r="A9" s="1">
        <v>3.3E-07</v>
      </c>
      <c r="B9">
        <f>'1-Cste Phys'!$B$4*'1-Cste Phys'!$B$3/A9</f>
        <v>6.019532900451298E-19</v>
      </c>
    </row>
    <row r="10" spans="1:2" ht="12.75">
      <c r="A10" s="1">
        <v>3.4E-07</v>
      </c>
      <c r="B10">
        <f>'1-Cste Phys'!$B$4*'1-Cste Phys'!$B$3/A10</f>
        <v>5.842487815143909E-19</v>
      </c>
    </row>
    <row r="11" spans="1:2" ht="12.75">
      <c r="A11" s="1">
        <v>3.5E-07</v>
      </c>
      <c r="B11">
        <f>'1-Cste Phys'!$B$4*'1-Cste Phys'!$B$3/A11</f>
        <v>5.675559591854082E-19</v>
      </c>
    </row>
    <row r="12" spans="1:2" ht="12.75">
      <c r="A12" s="1">
        <v>3.6E-07</v>
      </c>
      <c r="B12">
        <f>'1-Cste Phys'!$B$4*'1-Cste Phys'!$B$3/A12</f>
        <v>5.517905158747024E-19</v>
      </c>
    </row>
    <row r="13" spans="1:2" ht="12.75">
      <c r="A13" s="1">
        <v>3.7E-07</v>
      </c>
      <c r="B13">
        <f>'1-Cste Phys'!$B$4*'1-Cste Phys'!$B$3/A13</f>
        <v>5.368772586888996E-19</v>
      </c>
    </row>
    <row r="14" spans="1:5" ht="12.75">
      <c r="A14" s="1">
        <v>3.8E-07</v>
      </c>
      <c r="B14">
        <f>'1-Cste Phys'!$B$4*'1-Cste Phys'!$B$3/A14</f>
        <v>5.227489097760338E-19</v>
      </c>
      <c r="C14">
        <v>4E-05</v>
      </c>
      <c r="D14">
        <f>1/'1-Cste Phys'!$B$8/C14</f>
        <v>36.603221083455345</v>
      </c>
      <c r="E14">
        <f aca="true" t="shared" si="0" ref="E14:E52">D14/B14</f>
        <v>7.0020655039027446E+19</v>
      </c>
    </row>
    <row r="15" spans="1:5" ht="12.75">
      <c r="A15" s="1">
        <v>3.9E-07</v>
      </c>
      <c r="B15">
        <f>'1-Cste Phys'!$B$4*'1-Cste Phys'!$B$3/A15</f>
        <v>5.093450915766483E-19</v>
      </c>
      <c r="C15">
        <v>0.00012</v>
      </c>
      <c r="D15">
        <f>1/'1-Cste Phys'!$B$8/C15</f>
        <v>12.201073694485114</v>
      </c>
      <c r="E15">
        <f t="shared" si="0"/>
        <v>2.3954434618614653E+19</v>
      </c>
    </row>
    <row r="16" spans="1:5" ht="12.75">
      <c r="A16" s="1">
        <v>4E-07</v>
      </c>
      <c r="B16">
        <f>'1-Cste Phys'!$B$4*'1-Cste Phys'!$B$3/A16</f>
        <v>4.966114642872322E-19</v>
      </c>
      <c r="C16">
        <v>0.0004</v>
      </c>
      <c r="D16">
        <f>1/'1-Cste Phys'!$B$8/C16</f>
        <v>3.660322108345534</v>
      </c>
      <c r="E16">
        <f t="shared" si="0"/>
        <v>7.370595267266045E+18</v>
      </c>
    </row>
    <row r="17" spans="1:5" ht="12.75">
      <c r="A17" s="1">
        <v>4.1E-07</v>
      </c>
      <c r="B17">
        <f>'1-Cste Phys'!$B$4*'1-Cste Phys'!$B$3/A17</f>
        <v>4.844989895485192E-19</v>
      </c>
      <c r="C17">
        <v>0.0012</v>
      </c>
      <c r="D17">
        <f>1/'1-Cste Phys'!$B$8/C17</f>
        <v>1.2201073694485116</v>
      </c>
      <c r="E17">
        <f t="shared" si="0"/>
        <v>2.5182867163158994E+18</v>
      </c>
    </row>
    <row r="18" spans="1:5" ht="12.75">
      <c r="A18" s="1">
        <v>4.2E-07</v>
      </c>
      <c r="B18">
        <f>'1-Cste Phys'!$B$4*'1-Cste Phys'!$B$3/A18</f>
        <v>4.729632993211735E-19</v>
      </c>
      <c r="C18">
        <v>0.004</v>
      </c>
      <c r="D18">
        <f>1/'1-Cste Phys'!$B$8/C18</f>
        <v>0.36603221083455345</v>
      </c>
      <c r="E18">
        <f t="shared" si="0"/>
        <v>7.739125030629348E+17</v>
      </c>
    </row>
    <row r="19" spans="1:5" ht="12.75">
      <c r="A19" s="1">
        <v>4.3E-07</v>
      </c>
      <c r="B19">
        <f>'1-Cste Phys'!$B$4*'1-Cste Phys'!$B$3/A19</f>
        <v>4.619641528253322E-19</v>
      </c>
      <c r="C19">
        <v>0.0116</v>
      </c>
      <c r="D19">
        <f>1/'1-Cste Phys'!$B$8/C19</f>
        <v>0.12621800373605294</v>
      </c>
      <c r="E19">
        <f t="shared" si="0"/>
        <v>2.7322034180382765E+17</v>
      </c>
    </row>
    <row r="20" spans="1:5" ht="12.75">
      <c r="A20" s="1">
        <v>4.4E-07</v>
      </c>
      <c r="B20">
        <f>'1-Cste Phys'!$B$4*'1-Cste Phys'!$B$3/A20</f>
        <v>4.514649675338474E-19</v>
      </c>
      <c r="C20">
        <v>0.023</v>
      </c>
      <c r="D20">
        <f>1/'1-Cste Phys'!$B$8/C20</f>
        <v>0.06365777579731365</v>
      </c>
      <c r="E20">
        <f t="shared" si="0"/>
        <v>1.410026920694374E+17</v>
      </c>
    </row>
    <row r="21" spans="1:5" ht="12.75">
      <c r="A21" s="1">
        <v>4.5E-07</v>
      </c>
      <c r="B21">
        <f>'1-Cste Phys'!$B$4*'1-Cste Phys'!$B$3/A21</f>
        <v>4.414324126997619E-19</v>
      </c>
      <c r="C21">
        <v>0.038</v>
      </c>
      <c r="D21">
        <f>1/'1-Cste Phys'!$B$8/C21</f>
        <v>0.038529706403637204</v>
      </c>
      <c r="E21">
        <f t="shared" si="0"/>
        <v>87283365007097900</v>
      </c>
    </row>
    <row r="22" spans="1:5" ht="12.75">
      <c r="A22" s="1">
        <v>4.6E-07</v>
      </c>
      <c r="B22">
        <f>'1-Cste Phys'!$B$4*'1-Cste Phys'!$B$3/A22</f>
        <v>4.31836055901941E-19</v>
      </c>
      <c r="C22">
        <v>0.06</v>
      </c>
      <c r="D22">
        <f>1/'1-Cste Phys'!$B$8/C22</f>
        <v>0.02440214738897023</v>
      </c>
      <c r="E22">
        <f t="shared" si="0"/>
        <v>56507897049039690</v>
      </c>
    </row>
    <row r="23" spans="1:5" ht="12.75">
      <c r="A23" s="1">
        <v>4.7E-07</v>
      </c>
      <c r="B23">
        <f>'1-Cste Phys'!$B$4*'1-Cste Phys'!$B$3/A23</f>
        <v>4.22648054712538E-19</v>
      </c>
      <c r="C23">
        <v>0.091</v>
      </c>
      <c r="D23">
        <f>1/'1-Cste Phys'!$B$8/C23</f>
        <v>0.01608932794877158</v>
      </c>
      <c r="E23">
        <f t="shared" si="0"/>
        <v>38067909622143310</v>
      </c>
    </row>
    <row r="24" spans="1:5" ht="12.75">
      <c r="A24" s="1">
        <v>4.8E-07</v>
      </c>
      <c r="B24">
        <f>'1-Cste Phys'!$B$4*'1-Cste Phys'!$B$3/A24</f>
        <v>4.138428869060268E-19</v>
      </c>
      <c r="C24">
        <v>0.139</v>
      </c>
      <c r="D24">
        <f>1/'1-Cste Phys'!$B$8/C24</f>
        <v>0.01053330103121017</v>
      </c>
      <c r="E24">
        <f t="shared" si="0"/>
        <v>25452415311422310</v>
      </c>
    </row>
    <row r="25" spans="1:5" ht="12.75">
      <c r="A25" s="1">
        <v>4.9E-07</v>
      </c>
      <c r="B25">
        <f>'1-Cste Phys'!$B$4*'1-Cste Phys'!$B$3/A25</f>
        <v>4.05397113703863E-19</v>
      </c>
      <c r="C25">
        <v>0.208</v>
      </c>
      <c r="D25">
        <f>1/'1-Cste Phys'!$B$8/C25</f>
        <v>0.007039080977587567</v>
      </c>
      <c r="E25">
        <f t="shared" si="0"/>
        <v>17363421543078666</v>
      </c>
    </row>
    <row r="26" spans="1:5" ht="12.75">
      <c r="A26" s="1">
        <v>5E-07</v>
      </c>
      <c r="B26">
        <f>'1-Cste Phys'!$B$4*'1-Cste Phys'!$B$3/A26</f>
        <v>3.972891714297857E-19</v>
      </c>
      <c r="C26">
        <v>0.323</v>
      </c>
      <c r="D26">
        <f>1/'1-Cste Phys'!$B$8/C26</f>
        <v>0.004532906635722024</v>
      </c>
      <c r="E26">
        <f t="shared" si="0"/>
        <v>11409590197006264</v>
      </c>
    </row>
    <row r="27" spans="1:5" ht="12.75">
      <c r="A27" s="1">
        <v>5.1E-07</v>
      </c>
      <c r="B27">
        <f>'1-Cste Phys'!$B$4*'1-Cste Phys'!$B$3/A27</f>
        <v>3.894991876762605E-19</v>
      </c>
      <c r="C27">
        <v>0.503</v>
      </c>
      <c r="D27">
        <f>1/'1-Cste Phys'!$B$8/C27</f>
        <v>0.002910792929101817</v>
      </c>
      <c r="E27">
        <f t="shared" si="0"/>
        <v>7473168163629590</v>
      </c>
    </row>
    <row r="28" spans="1:5" ht="12.75">
      <c r="A28" s="1">
        <v>5.2E-07</v>
      </c>
      <c r="B28">
        <f>'1-Cste Phys'!$B$4*'1-Cste Phys'!$B$3/A28</f>
        <v>3.8200881868248626E-19</v>
      </c>
      <c r="C28">
        <v>0.71</v>
      </c>
      <c r="D28">
        <f>1/'1-Cste Phys'!$B$8/C28</f>
        <v>0.0020621533004763575</v>
      </c>
      <c r="E28">
        <f t="shared" si="0"/>
        <v>5398182449265274</v>
      </c>
    </row>
    <row r="29" spans="1:5" ht="12.75">
      <c r="A29" s="1">
        <v>5.3E-07</v>
      </c>
      <c r="B29">
        <f>'1-Cste Phys'!$B$4*'1-Cste Phys'!$B$3/A29</f>
        <v>3.7480110512243934E-19</v>
      </c>
      <c r="C29">
        <v>0.862</v>
      </c>
      <c r="D29">
        <f>1/'1-Cste Phys'!$B$8/C29</f>
        <v>0.001698525340299552</v>
      </c>
      <c r="E29">
        <f t="shared" si="0"/>
        <v>4531804514676340</v>
      </c>
    </row>
    <row r="30" spans="1:5" ht="12.75">
      <c r="A30" s="1">
        <v>5.4E-07</v>
      </c>
      <c r="B30">
        <f>'1-Cste Phys'!$B$4*'1-Cste Phys'!$B$3/A30</f>
        <v>3.6786034391646827E-19</v>
      </c>
      <c r="C30">
        <v>0.954</v>
      </c>
      <c r="D30">
        <f>1/'1-Cste Phys'!$B$8/C30</f>
        <v>0.001534726250878631</v>
      </c>
      <c r="E30">
        <f t="shared" si="0"/>
        <v>4172035056943045.5</v>
      </c>
    </row>
    <row r="31" spans="1:5" ht="12.75">
      <c r="A31" s="1">
        <v>5.5E-07</v>
      </c>
      <c r="B31">
        <f>'1-Cste Phys'!$B$4*'1-Cste Phys'!$B$3/A31</f>
        <v>3.611719740270779E-19</v>
      </c>
      <c r="C31">
        <v>0.995</v>
      </c>
      <c r="D31">
        <f>1/'1-Cste Phys'!$B$8/C31</f>
        <v>0.0014714862747117726</v>
      </c>
      <c r="E31">
        <f t="shared" si="0"/>
        <v>4074198388941030.5</v>
      </c>
    </row>
    <row r="32" spans="1:5" s="2" customFormat="1" ht="12.75">
      <c r="A32" s="3">
        <v>5.55E-07</v>
      </c>
      <c r="B32" s="2">
        <f>'1-Cste Phys'!$B$4*'1-Cste Phys'!$B$3/A32</f>
        <v>3.5791817245926643E-19</v>
      </c>
      <c r="C32" s="2">
        <v>1</v>
      </c>
      <c r="D32" s="2">
        <f>1/'1-Cste Phys'!$B$8/C32</f>
        <v>0.0014641288433382138</v>
      </c>
      <c r="E32" s="2">
        <f t="shared" si="0"/>
        <v>4090680373332655.5</v>
      </c>
    </row>
    <row r="33" spans="1:5" ht="12.75">
      <c r="A33" s="1">
        <v>5.6E-07</v>
      </c>
      <c r="B33">
        <f>'1-Cste Phys'!$B$4*'1-Cste Phys'!$B$3/A33</f>
        <v>3.547224744908801E-19</v>
      </c>
      <c r="C33">
        <v>0.995</v>
      </c>
      <c r="D33">
        <f>1/'1-Cste Phys'!$B$8/C33</f>
        <v>0.0014714862747117726</v>
      </c>
      <c r="E33">
        <f t="shared" si="0"/>
        <v>4148274723285413</v>
      </c>
    </row>
    <row r="34" spans="1:5" ht="12.75">
      <c r="A34" s="1">
        <v>5.7E-07</v>
      </c>
      <c r="B34">
        <f>'1-Cste Phys'!$B$4*'1-Cste Phys'!$B$3/A34</f>
        <v>3.4849927318402255E-19</v>
      </c>
      <c r="C34">
        <v>0.952</v>
      </c>
      <c r="D34">
        <f>1/'1-Cste Phys'!$B$8/C34</f>
        <v>0.0015379504656914012</v>
      </c>
      <c r="E34">
        <f t="shared" si="0"/>
        <v>4413066494056352</v>
      </c>
    </row>
    <row r="35" spans="1:5" ht="12.75">
      <c r="A35" s="1">
        <v>5.8E-07</v>
      </c>
      <c r="B35">
        <f>'1-Cste Phys'!$B$4*'1-Cste Phys'!$B$3/A35</f>
        <v>3.4249066502567736E-19</v>
      </c>
      <c r="C35">
        <v>0.87</v>
      </c>
      <c r="D35">
        <f>1/'1-Cste Phys'!$B$8/C35</f>
        <v>0.0016829067164807056</v>
      </c>
      <c r="E35">
        <f t="shared" si="0"/>
        <v>4913730178177364</v>
      </c>
    </row>
    <row r="36" spans="1:5" ht="12.75">
      <c r="A36" s="1">
        <v>5.9E-07</v>
      </c>
      <c r="B36">
        <f>'1-Cste Phys'!$B$4*'1-Cste Phys'!$B$3/A36</f>
        <v>3.3668573849981844E-19</v>
      </c>
      <c r="C36">
        <v>0.757</v>
      </c>
      <c r="D36">
        <f>1/'1-Cste Phys'!$B$8/C36</f>
        <v>0.0019341200044097936</v>
      </c>
      <c r="E36">
        <f t="shared" si="0"/>
        <v>5744585479110921</v>
      </c>
    </row>
    <row r="37" spans="1:5" ht="12.75">
      <c r="A37" s="1">
        <v>6E-07</v>
      </c>
      <c r="B37">
        <f>'1-Cste Phys'!$B$4*'1-Cste Phys'!$B$3/A37</f>
        <v>3.3107430952482144E-19</v>
      </c>
      <c r="C37">
        <v>0.631</v>
      </c>
      <c r="D37">
        <f>1/'1-Cste Phys'!$B$8/C37</f>
        <v>0.0023203309720098474</v>
      </c>
      <c r="E37">
        <f t="shared" si="0"/>
        <v>7008489953026351</v>
      </c>
    </row>
    <row r="38" spans="1:5" ht="12.75">
      <c r="A38" s="1">
        <v>6.1E-07</v>
      </c>
      <c r="B38">
        <f>'1-Cste Phys'!$B$4*'1-Cste Phys'!$B$3/A38</f>
        <v>3.256468618276932E-19</v>
      </c>
      <c r="C38">
        <v>0.503</v>
      </c>
      <c r="D38">
        <f>1/'1-Cste Phys'!$B$8/C38</f>
        <v>0.002910792929101817</v>
      </c>
      <c r="E38">
        <f t="shared" si="0"/>
        <v>8938495254537353</v>
      </c>
    </row>
    <row r="39" spans="1:5" ht="12.75">
      <c r="A39" s="1">
        <v>6.2E-07</v>
      </c>
      <c r="B39">
        <f>'1-Cste Phys'!$B$4*'1-Cste Phys'!$B$3/A39</f>
        <v>3.2039449308853686E-19</v>
      </c>
      <c r="C39">
        <v>0.381</v>
      </c>
      <c r="D39">
        <f>1/'1-Cste Phys'!$B$8/C39</f>
        <v>0.0038428578565307446</v>
      </c>
      <c r="E39">
        <f t="shared" si="0"/>
        <v>11994144529409314</v>
      </c>
    </row>
    <row r="40" spans="1:5" ht="12.75">
      <c r="A40" s="1">
        <v>6.3E-07</v>
      </c>
      <c r="B40">
        <f>'1-Cste Phys'!$B$4*'1-Cste Phys'!$B$3/A40</f>
        <v>3.1530886621411566E-19</v>
      </c>
      <c r="C40">
        <v>0.265</v>
      </c>
      <c r="D40">
        <f>1/'1-Cste Phys'!$B$8/C40</f>
        <v>0.005525014503163071</v>
      </c>
      <c r="E40">
        <f t="shared" si="0"/>
        <v>17522547239160790</v>
      </c>
    </row>
    <row r="41" spans="1:5" ht="12.75">
      <c r="A41" s="1">
        <v>6.4E-07</v>
      </c>
      <c r="B41">
        <f>'1-Cste Phys'!$B$4*'1-Cste Phys'!$B$3/A41</f>
        <v>3.103821651795201E-19</v>
      </c>
      <c r="C41">
        <v>0.175</v>
      </c>
      <c r="D41">
        <f>1/'1-Cste Phys'!$B$8/C41</f>
        <v>0.008366450533361222</v>
      </c>
      <c r="E41">
        <f t="shared" si="0"/>
        <v>26955319834572972</v>
      </c>
    </row>
    <row r="42" spans="1:5" ht="12.75">
      <c r="A42" s="1">
        <v>6.5E-07</v>
      </c>
      <c r="B42">
        <f>'1-Cste Phys'!$B$4*'1-Cste Phys'!$B$3/A42</f>
        <v>3.05607054945989E-19</v>
      </c>
      <c r="C42">
        <v>0.107</v>
      </c>
      <c r="D42">
        <f>1/'1-Cste Phys'!$B$8/C42</f>
        <v>0.013683447134001998</v>
      </c>
      <c r="E42">
        <f t="shared" si="0"/>
        <v>44774644146943270</v>
      </c>
    </row>
    <row r="43" spans="1:5" ht="12.75">
      <c r="A43" s="1">
        <v>6.6E-07</v>
      </c>
      <c r="B43">
        <f>'1-Cste Phys'!$B$4*'1-Cste Phys'!$B$3/A43</f>
        <v>3.009766450225649E-19</v>
      </c>
      <c r="C43">
        <v>0.061</v>
      </c>
      <c r="D43">
        <f>1/'1-Cste Phys'!$B$8/C43</f>
        <v>0.024002112185872358</v>
      </c>
      <c r="E43">
        <f t="shared" si="0"/>
        <v>79747424203206420</v>
      </c>
    </row>
    <row r="44" spans="1:5" ht="12.75">
      <c r="A44" s="1">
        <v>6.7E-07</v>
      </c>
      <c r="B44">
        <f>'1-Cste Phys'!$B$4*'1-Cste Phys'!$B$3/A44</f>
        <v>2.9648445629088484E-19</v>
      </c>
      <c r="C44">
        <v>0.032</v>
      </c>
      <c r="D44">
        <f>1/'1-Cste Phys'!$B$8/C44</f>
        <v>0.04575402635431918</v>
      </c>
      <c r="E44">
        <f t="shared" si="0"/>
        <v>1.5432183840838285E+17</v>
      </c>
    </row>
    <row r="45" spans="1:5" ht="12.75">
      <c r="A45" s="1">
        <v>6.8E-07</v>
      </c>
      <c r="B45">
        <f>'1-Cste Phys'!$B$4*'1-Cste Phys'!$B$3/A45</f>
        <v>2.9212439075719543E-19</v>
      </c>
      <c r="C45">
        <v>0.017</v>
      </c>
      <c r="D45">
        <f>1/'1-Cste Phys'!$B$8/C45</f>
        <v>0.08612522607871845</v>
      </c>
      <c r="E45">
        <f t="shared" si="0"/>
        <v>2.948238106906418E+17</v>
      </c>
    </row>
    <row r="46" spans="1:5" ht="12.75">
      <c r="A46" s="1">
        <v>6.9E-07</v>
      </c>
      <c r="B46">
        <f>'1-Cste Phys'!$B$4*'1-Cste Phys'!$B$3/A46</f>
        <v>2.8789070393462735E-19</v>
      </c>
      <c r="C46">
        <v>0.0082</v>
      </c>
      <c r="D46">
        <f>1/'1-Cste Phys'!$B$8/C46</f>
        <v>0.17855229796807484</v>
      </c>
      <c r="E46">
        <f t="shared" si="0"/>
        <v>6.202086261479965E+17</v>
      </c>
    </row>
    <row r="47" spans="1:5" ht="12.75">
      <c r="A47" s="1">
        <v>7E-07</v>
      </c>
      <c r="B47">
        <f>'1-Cste Phys'!$B$4*'1-Cste Phys'!$B$3/A47</f>
        <v>2.837779795927041E-19</v>
      </c>
      <c r="C47">
        <v>0.0041</v>
      </c>
      <c r="D47">
        <f>1/'1-Cste Phys'!$B$8/C47</f>
        <v>0.3571045959361497</v>
      </c>
      <c r="E47">
        <f t="shared" si="0"/>
        <v>1.258394313923471E+18</v>
      </c>
    </row>
    <row r="48" spans="1:5" ht="12.75">
      <c r="A48" s="1">
        <v>7.1E-07</v>
      </c>
      <c r="B48">
        <f>'1-Cste Phys'!$B$4*'1-Cste Phys'!$B$3/A48</f>
        <v>2.797811066406942E-19</v>
      </c>
      <c r="C48">
        <v>0.0021</v>
      </c>
      <c r="D48">
        <f>1/'1-Cste Phys'!$B$8/C48</f>
        <v>0.6972042111134352</v>
      </c>
      <c r="E48">
        <f t="shared" si="0"/>
        <v>2.4919631617899494E+18</v>
      </c>
    </row>
    <row r="49" spans="1:5" ht="12.75">
      <c r="A49" s="1">
        <v>7.2E-07</v>
      </c>
      <c r="B49">
        <f>'1-Cste Phys'!$B$4*'1-Cste Phys'!$B$3/A49</f>
        <v>2.758952579373512E-19</v>
      </c>
      <c r="C49">
        <v>0.00105</v>
      </c>
      <c r="D49">
        <f>1/'1-Cste Phys'!$B$8/C49</f>
        <v>1.3944084222268704</v>
      </c>
      <c r="E49">
        <f t="shared" si="0"/>
        <v>5.054122468982433E+18</v>
      </c>
    </row>
    <row r="50" spans="1:5" ht="12.75">
      <c r="A50" s="1">
        <v>7.3E-07</v>
      </c>
      <c r="B50">
        <f>'1-Cste Phys'!$B$4*'1-Cste Phys'!$B$3/A50</f>
        <v>2.72115870842319E-19</v>
      </c>
      <c r="C50">
        <v>0.00052</v>
      </c>
      <c r="D50">
        <f>1/'1-Cste Phys'!$B$8/C50</f>
        <v>2.815632391035027</v>
      </c>
      <c r="E50">
        <f t="shared" si="0"/>
        <v>1.0347181817508104E+19</v>
      </c>
    </row>
    <row r="51" spans="1:5" ht="12.75">
      <c r="A51" s="1">
        <v>7.4E-07</v>
      </c>
      <c r="B51">
        <f>'1-Cste Phys'!$B$4*'1-Cste Phys'!$B$3/A51</f>
        <v>2.684386293444498E-19</v>
      </c>
      <c r="C51">
        <v>0.00012</v>
      </c>
      <c r="D51">
        <f>1/'1-Cste Phys'!$B$8/C51</f>
        <v>12.201073694485114</v>
      </c>
      <c r="E51">
        <f t="shared" si="0"/>
        <v>4.545200414814061E+19</v>
      </c>
    </row>
    <row r="52" spans="1:5" ht="12.75">
      <c r="A52" s="1">
        <v>7.5E-07</v>
      </c>
      <c r="B52">
        <f>'1-Cste Phys'!$B$4*'1-Cste Phys'!$B$3/A52</f>
        <v>2.6485944761985715E-19</v>
      </c>
      <c r="C52">
        <v>6E-05</v>
      </c>
      <c r="D52">
        <f>1/'1-Cste Phys'!$B$8/C52</f>
        <v>24.402147388970228</v>
      </c>
      <c r="E52">
        <f t="shared" si="0"/>
        <v>9.213244084082557E+19</v>
      </c>
    </row>
    <row r="53" spans="1:2" ht="12.75">
      <c r="A53" s="1">
        <v>7.6E-07</v>
      </c>
      <c r="B53">
        <f>'1-Cste Phys'!$B$4*'1-Cste Phys'!$B$3/A53</f>
        <v>2.613744548880169E-19</v>
      </c>
    </row>
    <row r="54" spans="1:2" ht="12.75">
      <c r="A54" s="1">
        <v>7.70000000000001E-07</v>
      </c>
      <c r="B54">
        <f>'1-Cste Phys'!$B$4*'1-Cste Phys'!$B$3/A54</f>
        <v>2.5797998144791246E-19</v>
      </c>
    </row>
    <row r="55" spans="1:2" ht="12.75">
      <c r="A55" s="1">
        <v>7.80000000000001E-07</v>
      </c>
      <c r="B55">
        <f>'1-Cste Phys'!$B$4*'1-Cste Phys'!$B$3/A55</f>
        <v>2.5467254578832386E-19</v>
      </c>
    </row>
    <row r="56" spans="1:2" ht="12.75">
      <c r="A56" s="1">
        <v>7.90000000000001E-07</v>
      </c>
      <c r="B56">
        <f>'1-Cste Phys'!$B$4*'1-Cste Phys'!$B$3/A56</f>
        <v>2.5144884267707926E-19</v>
      </c>
    </row>
    <row r="57" spans="1:2" ht="12.75">
      <c r="A57" s="1">
        <v>8.00000000000001E-07</v>
      </c>
      <c r="B57">
        <f>'1-Cste Phys'!$B$4*'1-Cste Phys'!$B$3/A57</f>
        <v>2.4830573214361576E-19</v>
      </c>
    </row>
    <row r="58" spans="1:2" ht="12.75">
      <c r="A58" s="1">
        <v>8.10000000000001E-07</v>
      </c>
      <c r="B58">
        <f>'1-Cste Phys'!$B$4*'1-Cste Phys'!$B$3/A58</f>
        <v>2.452402292776452E-19</v>
      </c>
    </row>
    <row r="59" spans="1:2" ht="12.75">
      <c r="A59" s="1">
        <v>8.20000000000001E-07</v>
      </c>
      <c r="B59">
        <f>'1-Cste Phys'!$B$4*'1-Cste Phys'!$B$3/A59</f>
        <v>2.4224949477425926E-19</v>
      </c>
    </row>
    <row r="60" spans="1:2" ht="12.75">
      <c r="A60" s="1">
        <v>8.30000000000001E-07</v>
      </c>
      <c r="B60">
        <f>'1-Cste Phys'!$B$4*'1-Cste Phys'!$B$3/A60</f>
        <v>2.3933082616252125E-19</v>
      </c>
    </row>
    <row r="61" spans="1:2" ht="12.75">
      <c r="A61" s="1">
        <v>8.40000000000001E-07</v>
      </c>
      <c r="B61">
        <f>'1-Cste Phys'!$B$4*'1-Cste Phys'!$B$3/A61</f>
        <v>2.3648164966058646E-19</v>
      </c>
    </row>
    <row r="62" spans="1:2" ht="12.75">
      <c r="A62" s="1">
        <v>8.50000000000001E-07</v>
      </c>
      <c r="B62">
        <f>'1-Cste Phys'!$B$4*'1-Cste Phys'!$B$3/A62</f>
        <v>2.3369951260575605E-19</v>
      </c>
    </row>
    <row r="63" spans="1:2" ht="12.75">
      <c r="A63" s="1">
        <v>8.60000000000001E-07</v>
      </c>
      <c r="B63">
        <f>'1-Cste Phys'!$B$4*'1-Cste Phys'!$B$3/A63</f>
        <v>2.3098207641266587E-19</v>
      </c>
    </row>
    <row r="64" spans="1:2" ht="12.75">
      <c r="A64" s="1">
        <v>8.70000000000001E-07</v>
      </c>
      <c r="B64">
        <f>'1-Cste Phys'!$B$4*'1-Cste Phys'!$B$3/A64</f>
        <v>2.28327110017118E-19</v>
      </c>
    </row>
    <row r="65" spans="1:2" ht="12.75">
      <c r="A65" s="1">
        <v>8.80000000000001E-07</v>
      </c>
      <c r="B65">
        <f>'1-Cste Phys'!$B$4*'1-Cste Phys'!$B$3/A65</f>
        <v>2.2573248376692343E-19</v>
      </c>
    </row>
    <row r="66" spans="1:2" ht="12.75">
      <c r="A66" s="1">
        <v>8.90000000000001E-07</v>
      </c>
      <c r="B66">
        <f>'1-Cste Phys'!$B$4*'1-Cste Phys'!$B$3/A66</f>
        <v>2.231961637245985E-19</v>
      </c>
    </row>
    <row r="67" spans="1:2" ht="12.75">
      <c r="A67" s="1">
        <v>9.00000000000001E-07</v>
      </c>
      <c r="B67">
        <f>'1-Cste Phys'!$B$4*'1-Cste Phys'!$B$3/A67</f>
        <v>2.2071620634988073E-19</v>
      </c>
    </row>
    <row r="68" spans="1:2" ht="12.75">
      <c r="A68" s="1">
        <v>9.10000000000001E-07</v>
      </c>
      <c r="B68">
        <f>'1-Cste Phys'!$B$4*'1-Cste Phys'!$B$3/A68</f>
        <v>2.1829075353284906E-19</v>
      </c>
    </row>
    <row r="69" spans="1:2" ht="12.75">
      <c r="A69" s="1">
        <v>9.20000000000001E-07</v>
      </c>
      <c r="B69">
        <f>'1-Cste Phys'!$B$4*'1-Cste Phys'!$B$3/A69</f>
        <v>2.1591802795097026E-19</v>
      </c>
    </row>
    <row r="70" spans="1:2" ht="12.75">
      <c r="A70" s="1">
        <v>9.30000000000001E-07</v>
      </c>
      <c r="B70">
        <f>'1-Cste Phys'!$B$4*'1-Cste Phys'!$B$3/A70</f>
        <v>2.13596328725691E-19</v>
      </c>
    </row>
    <row r="71" spans="1:2" ht="12.75">
      <c r="A71" s="1">
        <v>9.40000000000001E-07</v>
      </c>
      <c r="B71">
        <f>'1-Cste Phys'!$B$4*'1-Cste Phys'!$B$3/A71</f>
        <v>2.1132402735626878E-19</v>
      </c>
    </row>
    <row r="72" spans="1:2" ht="12.75">
      <c r="A72" s="1">
        <v>9.50000000000001E-07</v>
      </c>
      <c r="B72">
        <f>'1-Cste Phys'!$B$4*'1-Cste Phys'!$B$3/A72</f>
        <v>2.0909956391041332E-19</v>
      </c>
    </row>
    <row r="73" spans="1:2" ht="12.75">
      <c r="A73" s="1">
        <v>9.60000000000001E-07</v>
      </c>
      <c r="B73">
        <f>'1-Cste Phys'!$B$4*'1-Cste Phys'!$B$3/A73</f>
        <v>2.069214434530132E-19</v>
      </c>
    </row>
    <row r="74" spans="1:2" ht="12.75">
      <c r="A74" s="1">
        <v>9.70000000000001E-07</v>
      </c>
      <c r="B74">
        <f>'1-Cste Phys'!$B$4*'1-Cste Phys'!$B$3/A74</f>
        <v>2.047882326957656E-19</v>
      </c>
    </row>
    <row r="75" spans="1:2" ht="12.75">
      <c r="A75" s="1">
        <v>9.80000000000001E-07</v>
      </c>
      <c r="B75">
        <f>'1-Cste Phys'!$B$4*'1-Cste Phys'!$B$3/A75</f>
        <v>2.026985568519313E-19</v>
      </c>
    </row>
    <row r="76" spans="1:2" ht="12.75">
      <c r="A76" s="1">
        <v>9.90000000000001E-07</v>
      </c>
      <c r="B76">
        <f>'1-Cste Phys'!$B$4*'1-Cste Phys'!$B$3/A76</f>
        <v>2.0065109668170977E-19</v>
      </c>
    </row>
    <row r="77" spans="1:2" ht="12.75">
      <c r="A77" s="1">
        <v>1E-06</v>
      </c>
      <c r="B77">
        <f>'1-Cste Phys'!$B$4*'1-Cste Phys'!$B$3/A77</f>
        <v>1.9864458571489286E-19</v>
      </c>
    </row>
    <row r="78" spans="1:2" ht="12.75">
      <c r="A78" s="1">
        <v>1.01E-06</v>
      </c>
      <c r="B78">
        <f>'1-Cste Phys'!$B$4*'1-Cste Phys'!$B$3/A78</f>
        <v>1.9667780763850777E-19</v>
      </c>
    </row>
    <row r="79" spans="1:2" ht="12.75">
      <c r="A79" s="1">
        <v>1.02E-06</v>
      </c>
      <c r="B79">
        <f>'1-Cste Phys'!$B$4*'1-Cste Phys'!$B$3/A79</f>
        <v>1.9474959383813026E-19</v>
      </c>
    </row>
    <row r="80" spans="1:2" ht="12.75">
      <c r="A80" s="1">
        <v>1.03E-06</v>
      </c>
      <c r="B80">
        <f>'1-Cste Phys'!$B$4*'1-Cste Phys'!$B$3/A80</f>
        <v>1.9285882108242024E-19</v>
      </c>
    </row>
    <row r="81" spans="1:2" ht="12.75">
      <c r="A81" s="1">
        <v>1.04E-06</v>
      </c>
      <c r="B81">
        <f>'1-Cste Phys'!$B$4*'1-Cste Phys'!$B$3/A81</f>
        <v>1.9100440934124313E-19</v>
      </c>
    </row>
    <row r="82" spans="1:2" ht="12.75">
      <c r="A82" s="1">
        <v>1.05E-06</v>
      </c>
      <c r="B82">
        <f>'1-Cste Phys'!$B$4*'1-Cste Phys'!$B$3/A82</f>
        <v>1.891853197284694E-19</v>
      </c>
    </row>
    <row r="83" spans="1:2" ht="12.75">
      <c r="A83" s="1">
        <v>1.06E-06</v>
      </c>
      <c r="B83">
        <f>'1-Cste Phys'!$B$4*'1-Cste Phys'!$B$3/A83</f>
        <v>1.8740055256121967E-19</v>
      </c>
    </row>
    <row r="84" spans="1:2" ht="12.75">
      <c r="A84" s="1">
        <v>1.07E-06</v>
      </c>
      <c r="B84">
        <f>'1-Cste Phys'!$B$4*'1-Cste Phys'!$B$3/A84</f>
        <v>1.8564914552793727E-19</v>
      </c>
    </row>
    <row r="85" spans="1:2" ht="12.75">
      <c r="A85" s="1">
        <v>1.08E-06</v>
      </c>
      <c r="B85">
        <f>'1-Cste Phys'!$B$4*'1-Cste Phys'!$B$3/A85</f>
        <v>1.8393017195823414E-19</v>
      </c>
    </row>
    <row r="86" spans="1:2" ht="12.75">
      <c r="A86" s="1">
        <v>1.09E-06</v>
      </c>
      <c r="B86">
        <f>'1-Cste Phys'!$B$4*'1-Cste Phys'!$B$3/A86</f>
        <v>1.8224273918797512E-19</v>
      </c>
    </row>
    <row r="87" spans="1:2" ht="12.75">
      <c r="A87" s="1">
        <v>1.1E-06</v>
      </c>
      <c r="B87">
        <f>'1-Cste Phys'!$B$4*'1-Cste Phys'!$B$3/A87</f>
        <v>1.8058598701353896E-19</v>
      </c>
    </row>
    <row r="88" ht="12.75">
      <c r="C88">
        <f>SUMPRODUCT(C3:C77,B3:B77)*0.00000001</f>
        <v>4.1685737173694534E-26</v>
      </c>
    </row>
    <row r="89" ht="12.75">
      <c r="C89">
        <v>892.0776629</v>
      </c>
    </row>
    <row r="90" ht="12.75">
      <c r="C90" t="s">
        <v>188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3"/>
  <sheetViews>
    <sheetView zoomScalePageLayoutView="0" workbookViewId="0" topLeftCell="A1">
      <selection activeCell="G43" sqref="G43"/>
    </sheetView>
  </sheetViews>
  <sheetFormatPr defaultColWidth="11.00390625" defaultRowHeight="12.75"/>
  <cols>
    <col min="1" max="1" width="11.00390625" style="0" customWidth="1"/>
    <col min="2" max="2" width="17.421875" style="0" customWidth="1"/>
  </cols>
  <sheetData>
    <row r="1" spans="2:3" ht="12.75">
      <c r="B1" t="s">
        <v>189</v>
      </c>
      <c r="C1" t="s">
        <v>190</v>
      </c>
    </row>
    <row r="2" spans="2:3" ht="12.75">
      <c r="B2">
        <v>20</v>
      </c>
      <c r="C2">
        <f aca="true" t="shared" si="0" ref="C2:C13">((100)^(1/5))^B2</f>
        <v>100000000.00000037</v>
      </c>
    </row>
    <row r="3" spans="2:3" ht="12.75">
      <c r="B3">
        <v>10</v>
      </c>
      <c r="C3">
        <f t="shared" si="0"/>
        <v>10000.00000000002</v>
      </c>
    </row>
    <row r="4" spans="2:3" ht="12.75">
      <c r="B4">
        <v>5</v>
      </c>
      <c r="C4">
        <f t="shared" si="0"/>
        <v>100.0000000000001</v>
      </c>
    </row>
    <row r="5" spans="2:3" ht="12.75">
      <c r="B5">
        <v>4</v>
      </c>
      <c r="C5">
        <f t="shared" si="0"/>
        <v>39.810717055349755</v>
      </c>
    </row>
    <row r="6" spans="2:3" ht="12.75">
      <c r="B6">
        <v>3</v>
      </c>
      <c r="C6">
        <f t="shared" si="0"/>
        <v>15.848931924611145</v>
      </c>
    </row>
    <row r="7" spans="2:3" ht="12.75">
      <c r="B7">
        <v>2</v>
      </c>
      <c r="C7">
        <f t="shared" si="0"/>
        <v>6.309573444801935</v>
      </c>
    </row>
    <row r="8" spans="2:3" ht="12.75">
      <c r="B8">
        <v>1</v>
      </c>
      <c r="C8">
        <f t="shared" si="0"/>
        <v>2.5118864315095806</v>
      </c>
    </row>
    <row r="9" spans="2:3" ht="12.75">
      <c r="B9">
        <v>0.1</v>
      </c>
      <c r="C9">
        <f t="shared" si="0"/>
        <v>1.096478196143185</v>
      </c>
    </row>
    <row r="10" spans="2:3" ht="12.75">
      <c r="B10">
        <v>0.01</v>
      </c>
      <c r="C10">
        <f t="shared" si="0"/>
        <v>1.0092528860766845</v>
      </c>
    </row>
    <row r="11" spans="2:3" ht="12.75">
      <c r="B11">
        <v>0.001</v>
      </c>
      <c r="C11">
        <f t="shared" si="0"/>
        <v>1.0009214583192958</v>
      </c>
    </row>
    <row r="12" spans="2:3" ht="12.75">
      <c r="B12">
        <v>0.0001</v>
      </c>
      <c r="C12">
        <f t="shared" si="0"/>
        <v>1.0000921076453684</v>
      </c>
    </row>
    <row r="13" spans="2:3" ht="12.75">
      <c r="B13">
        <v>0</v>
      </c>
      <c r="C13">
        <f t="shared" si="0"/>
        <v>1</v>
      </c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16" sqref="C16"/>
    </sheetView>
  </sheetViews>
  <sheetFormatPr defaultColWidth="10.00390625" defaultRowHeight="12.75"/>
  <cols>
    <col min="1" max="16384" width="11.00390625" style="0" bestFit="1" customWidth="1"/>
  </cols>
  <sheetData>
    <row r="1" ht="12.75">
      <c r="A1" t="s">
        <v>191</v>
      </c>
    </row>
    <row r="2" spans="2:9" ht="12.75">
      <c r="B2" t="s">
        <v>192</v>
      </c>
      <c r="C2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</row>
    <row r="3" spans="1:9" ht="12.75">
      <c r="A3" t="s">
        <v>193</v>
      </c>
      <c r="C3" s="1">
        <f>'[1]7-Conversion mag'!C2</f>
        <v>2.54E-06</v>
      </c>
      <c r="D3" s="1">
        <f>'[1]7-Conversion mag'!C3</f>
        <v>1.0111922132058828E-06</v>
      </c>
      <c r="E3" s="1">
        <f>'[1]7-Conversion mag'!C4</f>
        <v>4.0256287088512265E-07</v>
      </c>
      <c r="F3" s="1">
        <f>'[1]7-Conversion mag'!C5</f>
        <v>1.6026316549796898E-07</v>
      </c>
      <c r="G3" s="1">
        <f>'[1]7-Conversion mag'!C6</f>
        <v>6.380191536034327E-08</v>
      </c>
      <c r="H3" s="1">
        <f>'[1]7-Conversion mag'!C7</f>
        <v>2.5399999999999973E-08</v>
      </c>
      <c r="I3" s="1">
        <f>'[1]7-Conversion mag'!C8</f>
        <v>1.0111922132058817E-08</v>
      </c>
    </row>
    <row r="4" spans="1:9" ht="12.75">
      <c r="A4">
        <v>0</v>
      </c>
      <c r="B4" s="1">
        <v>2.54E-06</v>
      </c>
      <c r="C4" s="4">
        <f aca="true" t="shared" si="0" ref="C4:I10">-2.5*LOG10((C$3+$B4)/$C$3)</f>
        <v>-0.752574989159953</v>
      </c>
      <c r="D4" s="4">
        <f t="shared" si="0"/>
        <v>-0.36385115777323424</v>
      </c>
      <c r="E4" s="4">
        <f t="shared" si="0"/>
        <v>-0.15973008535844885</v>
      </c>
      <c r="F4" s="4">
        <f t="shared" si="0"/>
        <v>-0.06643093899025623</v>
      </c>
      <c r="G4" s="4">
        <f t="shared" si="0"/>
        <v>-0.02693556377989279</v>
      </c>
      <c r="H4" s="4">
        <f t="shared" si="0"/>
        <v>-0.010803434456606446</v>
      </c>
      <c r="I4" s="4">
        <f t="shared" si="0"/>
        <v>-0.00431381257198177</v>
      </c>
    </row>
    <row r="5" spans="1:9" ht="12.75">
      <c r="A5">
        <v>1</v>
      </c>
      <c r="B5" s="1">
        <f aca="true" t="shared" si="1" ref="B5:B10">B4/(100^0.2)</f>
        <v>1.0111922132058828E-06</v>
      </c>
      <c r="C5" s="4">
        <f t="shared" si="0"/>
        <v>-0.36385115777323424</v>
      </c>
      <c r="D5" s="4">
        <f t="shared" si="0"/>
        <v>0.24742501084004714</v>
      </c>
      <c r="E5" s="4">
        <f t="shared" si="0"/>
        <v>0.6361488422267659</v>
      </c>
      <c r="F5" s="4">
        <f t="shared" si="0"/>
        <v>0.8402699146415511</v>
      </c>
      <c r="G5" s="4">
        <f t="shared" si="0"/>
        <v>0.9335690610097441</v>
      </c>
      <c r="H5" s="4">
        <f t="shared" si="0"/>
        <v>0.9730644362201075</v>
      </c>
      <c r="I5" s="4">
        <f t="shared" si="0"/>
        <v>0.9891965655433939</v>
      </c>
    </row>
    <row r="6" spans="1:9" ht="12.75">
      <c r="A6">
        <v>2</v>
      </c>
      <c r="B6" s="1">
        <f t="shared" si="1"/>
        <v>4.0256287088512265E-07</v>
      </c>
      <c r="C6" s="4">
        <f t="shared" si="0"/>
        <v>-0.15973008535844885</v>
      </c>
      <c r="D6" s="4">
        <f t="shared" si="0"/>
        <v>0.6361488422267659</v>
      </c>
      <c r="E6" s="4">
        <f t="shared" si="0"/>
        <v>1.2474250108400473</v>
      </c>
      <c r="F6" s="4">
        <f t="shared" si="0"/>
        <v>1.636148842226766</v>
      </c>
      <c r="G6" s="4">
        <f t="shared" si="0"/>
        <v>1.8402699146415515</v>
      </c>
      <c r="H6" s="4">
        <f t="shared" si="0"/>
        <v>1.9335690610097445</v>
      </c>
      <c r="I6" s="4">
        <f t="shared" si="0"/>
        <v>1.9730644362201077</v>
      </c>
    </row>
    <row r="7" spans="1:9" ht="12.75">
      <c r="A7">
        <v>3</v>
      </c>
      <c r="B7" s="1">
        <f t="shared" si="1"/>
        <v>1.6026316549796898E-07</v>
      </c>
      <c r="C7" s="4">
        <f t="shared" si="0"/>
        <v>-0.06643093899025623</v>
      </c>
      <c r="D7" s="4">
        <f t="shared" si="0"/>
        <v>0.8402699146415511</v>
      </c>
      <c r="E7" s="4">
        <f t="shared" si="0"/>
        <v>1.636148842226766</v>
      </c>
      <c r="F7" s="4">
        <f t="shared" si="0"/>
        <v>2.2474250108400478</v>
      </c>
      <c r="G7" s="4">
        <f t="shared" si="0"/>
        <v>2.6361488422267665</v>
      </c>
      <c r="H7" s="4">
        <f t="shared" si="0"/>
        <v>2.8402699146415515</v>
      </c>
      <c r="I7" s="4">
        <f t="shared" si="0"/>
        <v>2.9335690610097447</v>
      </c>
    </row>
    <row r="8" spans="1:9" ht="12.75">
      <c r="A8">
        <v>4</v>
      </c>
      <c r="B8" s="1">
        <f t="shared" si="1"/>
        <v>6.380191536034327E-08</v>
      </c>
      <c r="C8" s="4">
        <f t="shared" si="0"/>
        <v>-0.02693556377989279</v>
      </c>
      <c r="D8" s="4">
        <f t="shared" si="0"/>
        <v>0.9335690610097441</v>
      </c>
      <c r="E8" s="4">
        <f t="shared" si="0"/>
        <v>1.8402699146415515</v>
      </c>
      <c r="F8" s="4">
        <f t="shared" si="0"/>
        <v>2.6361488422267665</v>
      </c>
      <c r="G8" s="4">
        <f t="shared" si="0"/>
        <v>3.2474250108400478</v>
      </c>
      <c r="H8" s="4">
        <f t="shared" si="0"/>
        <v>3.636148842226767</v>
      </c>
      <c r="I8" s="4">
        <f t="shared" si="0"/>
        <v>3.840269914641552</v>
      </c>
    </row>
    <row r="9" spans="1:9" ht="12.75">
      <c r="A9">
        <v>5</v>
      </c>
      <c r="B9" s="1">
        <f t="shared" si="1"/>
        <v>2.5399999999999973E-08</v>
      </c>
      <c r="C9" s="4">
        <f t="shared" si="0"/>
        <v>-0.010803434456606446</v>
      </c>
      <c r="D9" s="4">
        <f t="shared" si="0"/>
        <v>0.9730644362201075</v>
      </c>
      <c r="E9" s="4">
        <f t="shared" si="0"/>
        <v>1.9335690610097445</v>
      </c>
      <c r="F9" s="4">
        <f t="shared" si="0"/>
        <v>2.8402699146415515</v>
      </c>
      <c r="G9" s="4">
        <f t="shared" si="0"/>
        <v>3.636148842226767</v>
      </c>
      <c r="H9" s="4">
        <f t="shared" si="0"/>
        <v>4.247425010840048</v>
      </c>
      <c r="I9" s="4">
        <f t="shared" si="0"/>
        <v>4.636148842226767</v>
      </c>
    </row>
    <row r="10" spans="1:9" ht="12.75">
      <c r="A10">
        <v>6</v>
      </c>
      <c r="B10" s="1">
        <f t="shared" si="1"/>
        <v>1.0111922132058817E-08</v>
      </c>
      <c r="C10" s="4">
        <f t="shared" si="0"/>
        <v>-0.00431381257198177</v>
      </c>
      <c r="D10" s="4">
        <f t="shared" si="0"/>
        <v>0.9891965655433939</v>
      </c>
      <c r="E10" s="4">
        <f t="shared" si="0"/>
        <v>1.9730644362201077</v>
      </c>
      <c r="F10" s="4">
        <f t="shared" si="0"/>
        <v>2.9335690610097447</v>
      </c>
      <c r="G10" s="4">
        <f t="shared" si="0"/>
        <v>3.840269914641552</v>
      </c>
      <c r="H10" s="4">
        <f t="shared" si="0"/>
        <v>4.636148842226767</v>
      </c>
      <c r="I10" s="4">
        <f t="shared" si="0"/>
        <v>5.247425010840049</v>
      </c>
    </row>
    <row r="13" spans="3:4" ht="12.75">
      <c r="C13">
        <v>0</v>
      </c>
      <c r="D13" s="1">
        <f>'[1]7-Conversion mag'!C2</f>
        <v>2.54E-06</v>
      </c>
    </row>
    <row r="14" spans="1:4" ht="12.75">
      <c r="A14" t="s">
        <v>192</v>
      </c>
      <c r="B14" t="s">
        <v>194</v>
      </c>
      <c r="C14" s="19">
        <v>12</v>
      </c>
      <c r="D14" s="1">
        <f>D$13/(100^0.2)^(C14-C$13)</f>
        <v>4.025628708851219E-11</v>
      </c>
    </row>
    <row r="15" spans="1:4" ht="12.75">
      <c r="A15" t="s">
        <v>193</v>
      </c>
      <c r="B15" t="s">
        <v>194</v>
      </c>
      <c r="C15" s="19">
        <v>13</v>
      </c>
      <c r="D15" s="1">
        <f>D$13/(100^0.2)^(C15-C$13)</f>
        <v>1.6026316549796866E-11</v>
      </c>
    </row>
    <row r="16" spans="1:4" ht="12.75">
      <c r="A16" t="s">
        <v>195</v>
      </c>
      <c r="B16" t="s">
        <v>194</v>
      </c>
      <c r="C16" s="45">
        <f>C13+2.5*LOG10(D13/D16)</f>
        <v>11.636148842226767</v>
      </c>
      <c r="D16" s="1">
        <f>D14+D15</f>
        <v>5.6282603638309056E-11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2" sqref="E2"/>
    </sheetView>
  </sheetViews>
  <sheetFormatPr defaultColWidth="10.00390625" defaultRowHeight="12.75"/>
  <cols>
    <col min="1" max="1" width="11.00390625" style="0" bestFit="1" customWidth="1"/>
    <col min="2" max="2" width="23.57421875" style="0" customWidth="1"/>
    <col min="3" max="4" width="12.421875" style="0" bestFit="1" customWidth="1"/>
    <col min="5" max="5" width="12.00390625" style="0" bestFit="1" customWidth="1"/>
    <col min="6" max="16384" width="11.00390625" style="0" bestFit="1" customWidth="1"/>
  </cols>
  <sheetData>
    <row r="1" spans="1:5" ht="12.75">
      <c r="A1" t="s">
        <v>196</v>
      </c>
      <c r="B1" t="s">
        <v>197</v>
      </c>
      <c r="C1" t="s">
        <v>147</v>
      </c>
      <c r="D1" t="s">
        <v>198</v>
      </c>
      <c r="E1" t="s">
        <v>199</v>
      </c>
    </row>
    <row r="2" spans="2:5" ht="12.75">
      <c r="B2">
        <v>0</v>
      </c>
      <c r="C2" s="1">
        <v>2.54E-06</v>
      </c>
      <c r="D2" s="1">
        <v>3.72E-08</v>
      </c>
      <c r="E2" s="1">
        <v>103900000000</v>
      </c>
    </row>
    <row r="3" spans="2:5" ht="12.75">
      <c r="B3">
        <v>1</v>
      </c>
      <c r="C3" s="1">
        <f aca="true" t="shared" si="0" ref="C3:C32">C2/(100^0.2)</f>
        <v>1.0111922132058828E-06</v>
      </c>
      <c r="D3" s="1">
        <f aca="true" t="shared" si="1" ref="D3:D32">D2/(100^0.2)</f>
        <v>1.4809586744590096E-08</v>
      </c>
      <c r="E3" s="1">
        <f aca="true" t="shared" si="2" ref="E3:E32">E2/(100^0.2)</f>
        <v>41363335020.508354</v>
      </c>
    </row>
    <row r="4" spans="2:5" ht="12.75">
      <c r="B4">
        <v>2</v>
      </c>
      <c r="C4" s="1">
        <f t="shared" si="0"/>
        <v>4.0256287088512265E-07</v>
      </c>
      <c r="D4" s="1">
        <f t="shared" si="1"/>
        <v>5.8958026759553405E-09</v>
      </c>
      <c r="E4" s="1">
        <f t="shared" si="2"/>
        <v>16467040269.670961</v>
      </c>
    </row>
    <row r="5" spans="2:5" ht="12.75">
      <c r="B5">
        <v>3</v>
      </c>
      <c r="C5" s="1">
        <f t="shared" si="0"/>
        <v>1.6026316549796898E-07</v>
      </c>
      <c r="D5" s="1">
        <f t="shared" si="1"/>
        <v>2.347161321466318E-09</v>
      </c>
      <c r="E5" s="1">
        <f t="shared" si="2"/>
        <v>6555646809.149203</v>
      </c>
    </row>
    <row r="6" spans="2:5" ht="12.75">
      <c r="B6">
        <v>4</v>
      </c>
      <c r="C6" s="1">
        <f t="shared" si="0"/>
        <v>6.380191536034327E-08</v>
      </c>
      <c r="D6" s="1">
        <f t="shared" si="1"/>
        <v>9.344217525215632E-10</v>
      </c>
      <c r="E6" s="1">
        <f t="shared" si="2"/>
        <v>2609850002.3384514</v>
      </c>
    </row>
    <row r="7" spans="2:5" ht="12.75">
      <c r="B7">
        <v>5</v>
      </c>
      <c r="C7" s="1">
        <f t="shared" si="0"/>
        <v>2.5399999999999973E-08</v>
      </c>
      <c r="D7" s="1">
        <f t="shared" si="1"/>
        <v>3.719999999999997E-10</v>
      </c>
      <c r="E7" s="1">
        <f t="shared" si="2"/>
        <v>1038999999.9999989</v>
      </c>
    </row>
    <row r="8" spans="2:5" ht="12.75">
      <c r="B8">
        <v>6</v>
      </c>
      <c r="C8" s="1">
        <f t="shared" si="0"/>
        <v>1.0111922132058817E-08</v>
      </c>
      <c r="D8" s="1">
        <f t="shared" si="1"/>
        <v>1.4809586744590082E-10</v>
      </c>
      <c r="E8" s="1">
        <f t="shared" si="2"/>
        <v>413633350.20508313</v>
      </c>
    </row>
    <row r="9" spans="2:5" ht="12.75">
      <c r="B9">
        <v>7</v>
      </c>
      <c r="C9" s="1">
        <f t="shared" si="0"/>
        <v>4.025628708851222E-09</v>
      </c>
      <c r="D9" s="1">
        <f t="shared" si="1"/>
        <v>5.895802675955334E-11</v>
      </c>
      <c r="E9" s="1">
        <f t="shared" si="2"/>
        <v>164670402.69670945</v>
      </c>
    </row>
    <row r="10" spans="2:5" ht="12.75">
      <c r="B10">
        <v>8</v>
      </c>
      <c r="C10" s="1">
        <f t="shared" si="0"/>
        <v>1.602631654979688E-09</v>
      </c>
      <c r="D10" s="1">
        <f t="shared" si="1"/>
        <v>2.3471613214663154E-11</v>
      </c>
      <c r="E10" s="1">
        <f t="shared" si="2"/>
        <v>65556468.091491975</v>
      </c>
    </row>
    <row r="11" spans="2:5" ht="12.75">
      <c r="B11">
        <v>9</v>
      </c>
      <c r="C11" s="1">
        <f t="shared" si="0"/>
        <v>6.380191536034321E-10</v>
      </c>
      <c r="D11" s="1">
        <f t="shared" si="1"/>
        <v>9.344217525215622E-12</v>
      </c>
      <c r="E11" s="1">
        <f t="shared" si="2"/>
        <v>26098500.023384493</v>
      </c>
    </row>
    <row r="12" spans="2:5" ht="12.75">
      <c r="B12">
        <v>10</v>
      </c>
      <c r="C12" s="1">
        <f t="shared" si="0"/>
        <v>2.5399999999999943E-10</v>
      </c>
      <c r="D12" s="1">
        <f t="shared" si="1"/>
        <v>3.719999999999993E-12</v>
      </c>
      <c r="E12" s="1">
        <f t="shared" si="2"/>
        <v>10389999.99999998</v>
      </c>
    </row>
    <row r="13" spans="2:5" ht="12.75">
      <c r="B13">
        <v>11</v>
      </c>
      <c r="C13" s="1">
        <f t="shared" si="0"/>
        <v>1.0111922132058806E-10</v>
      </c>
      <c r="D13" s="1">
        <f t="shared" si="1"/>
        <v>1.4809586744590067E-12</v>
      </c>
      <c r="E13" s="1">
        <f t="shared" si="2"/>
        <v>4136333.5020508277</v>
      </c>
    </row>
    <row r="14" spans="2:5" ht="12.75">
      <c r="B14">
        <v>12</v>
      </c>
      <c r="C14" s="1">
        <f t="shared" si="0"/>
        <v>4.025628708851218E-11</v>
      </c>
      <c r="D14" s="1">
        <f t="shared" si="1"/>
        <v>5.895802675955329E-13</v>
      </c>
      <c r="E14" s="1">
        <f t="shared" si="2"/>
        <v>1646704.026967093</v>
      </c>
    </row>
    <row r="15" spans="2:5" ht="12.75">
      <c r="B15">
        <v>13</v>
      </c>
      <c r="C15" s="1">
        <f t="shared" si="0"/>
        <v>1.6026316549796862E-11</v>
      </c>
      <c r="D15" s="1">
        <f t="shared" si="1"/>
        <v>2.347161321466313E-13</v>
      </c>
      <c r="E15" s="1">
        <f t="shared" si="2"/>
        <v>655564.6809149191</v>
      </c>
    </row>
    <row r="16" spans="2:5" ht="12.75">
      <c r="B16">
        <v>14</v>
      </c>
      <c r="C16" s="1">
        <f t="shared" si="0"/>
        <v>6.380191536034314E-12</v>
      </c>
      <c r="D16" s="1">
        <f t="shared" si="1"/>
        <v>9.344217525215613E-14</v>
      </c>
      <c r="E16" s="1">
        <f t="shared" si="2"/>
        <v>260985.00023384465</v>
      </c>
    </row>
    <row r="17" spans="2:5" ht="12.75">
      <c r="B17">
        <v>15</v>
      </c>
      <c r="C17" s="1">
        <f t="shared" si="0"/>
        <v>2.5399999999999916E-12</v>
      </c>
      <c r="D17" s="1">
        <f t="shared" si="1"/>
        <v>3.7199999999999895E-14</v>
      </c>
      <c r="E17" s="1">
        <f t="shared" si="2"/>
        <v>103899.9999999997</v>
      </c>
    </row>
    <row r="18" spans="2:5" ht="12.75">
      <c r="B18">
        <v>16</v>
      </c>
      <c r="C18" s="1">
        <f t="shared" si="0"/>
        <v>1.0111922132058794E-12</v>
      </c>
      <c r="D18" s="1">
        <f t="shared" si="1"/>
        <v>1.4809586744590054E-14</v>
      </c>
      <c r="E18" s="1">
        <f t="shared" si="2"/>
        <v>41363.33502050823</v>
      </c>
    </row>
    <row r="19" spans="2:5" ht="12.75">
      <c r="B19">
        <v>17</v>
      </c>
      <c r="C19" s="1">
        <f t="shared" si="0"/>
        <v>4.0256287088512133E-13</v>
      </c>
      <c r="D19" s="1">
        <f t="shared" si="1"/>
        <v>5.8958026759553236E-15</v>
      </c>
      <c r="E19" s="1">
        <f t="shared" si="2"/>
        <v>16467.040269670913</v>
      </c>
    </row>
    <row r="20" spans="2:5" ht="12.75">
      <c r="B20">
        <v>18</v>
      </c>
      <c r="C20" s="1">
        <f t="shared" si="0"/>
        <v>1.6026316549796845E-13</v>
      </c>
      <c r="D20" s="1">
        <f t="shared" si="1"/>
        <v>2.3471613214663112E-15</v>
      </c>
      <c r="E20" s="1">
        <f t="shared" si="2"/>
        <v>6555.646809149184</v>
      </c>
    </row>
    <row r="21" spans="2:5" ht="12.75">
      <c r="B21">
        <v>19</v>
      </c>
      <c r="C21" s="1">
        <f t="shared" si="0"/>
        <v>6.380191536034307E-14</v>
      </c>
      <c r="D21" s="1">
        <f t="shared" si="1"/>
        <v>9.344217525215605E-16</v>
      </c>
      <c r="E21" s="1">
        <f t="shared" si="2"/>
        <v>2609.850002338444</v>
      </c>
    </row>
    <row r="22" spans="2:5" ht="12.75">
      <c r="B22">
        <v>20</v>
      </c>
      <c r="C22" s="1">
        <f t="shared" si="0"/>
        <v>2.539999999999989E-14</v>
      </c>
      <c r="D22" s="1">
        <f t="shared" si="1"/>
        <v>3.7199999999999865E-16</v>
      </c>
      <c r="E22" s="1">
        <f t="shared" si="2"/>
        <v>1038.999999999996</v>
      </c>
    </row>
    <row r="23" spans="2:5" ht="12.75">
      <c r="B23">
        <v>21</v>
      </c>
      <c r="C23" s="1">
        <f t="shared" si="0"/>
        <v>1.0111922132058785E-14</v>
      </c>
      <c r="D23" s="1">
        <f t="shared" si="1"/>
        <v>1.4809586744590042E-16</v>
      </c>
      <c r="E23" s="1">
        <f t="shared" si="2"/>
        <v>413.6333502050819</v>
      </c>
    </row>
    <row r="24" spans="2:5" ht="12.75">
      <c r="B24">
        <v>22</v>
      </c>
      <c r="C24" s="1">
        <f t="shared" si="0"/>
        <v>4.02562870885121E-15</v>
      </c>
      <c r="D24" s="1">
        <f t="shared" si="1"/>
        <v>5.895802675955319E-17</v>
      </c>
      <c r="E24" s="1">
        <f t="shared" si="2"/>
        <v>164.67040269670898</v>
      </c>
    </row>
    <row r="25" spans="2:5" ht="12.75">
      <c r="B25">
        <v>23</v>
      </c>
      <c r="C25" s="1">
        <f t="shared" si="0"/>
        <v>1.6026316549796832E-15</v>
      </c>
      <c r="D25" s="1">
        <f t="shared" si="1"/>
        <v>2.347161321466309E-17</v>
      </c>
      <c r="E25" s="1">
        <f t="shared" si="2"/>
        <v>65.55646809149178</v>
      </c>
    </row>
    <row r="26" spans="2:5" ht="12.75">
      <c r="B26">
        <v>24</v>
      </c>
      <c r="C26" s="1">
        <f t="shared" si="0"/>
        <v>6.380191536034302E-16</v>
      </c>
      <c r="D26" s="1">
        <f t="shared" si="1"/>
        <v>9.344217525215597E-18</v>
      </c>
      <c r="E26" s="1">
        <f t="shared" si="2"/>
        <v>26.098500023384414</v>
      </c>
    </row>
    <row r="27" spans="2:5" ht="12.75">
      <c r="B27">
        <v>25</v>
      </c>
      <c r="C27" s="1">
        <f t="shared" si="0"/>
        <v>2.539999999999987E-16</v>
      </c>
      <c r="D27" s="1">
        <f t="shared" si="1"/>
        <v>3.7199999999999825E-18</v>
      </c>
      <c r="E27" s="1">
        <f t="shared" si="2"/>
        <v>10.389999999999949</v>
      </c>
    </row>
    <row r="28" spans="2:5" ht="12.75">
      <c r="B28">
        <v>26</v>
      </c>
      <c r="C28" s="1">
        <f t="shared" si="0"/>
        <v>1.0111922132058776E-16</v>
      </c>
      <c r="D28" s="1">
        <f t="shared" si="1"/>
        <v>1.4809586744590025E-18</v>
      </c>
      <c r="E28" s="1">
        <f t="shared" si="2"/>
        <v>4.136333502050816</v>
      </c>
    </row>
    <row r="29" spans="2:5" ht="12.75">
      <c r="B29">
        <v>27</v>
      </c>
      <c r="C29" s="1">
        <f t="shared" si="0"/>
        <v>4.025628708851206E-17</v>
      </c>
      <c r="D29" s="1">
        <f t="shared" si="1"/>
        <v>5.895802675955312E-19</v>
      </c>
      <c r="E29" s="1">
        <f t="shared" si="2"/>
        <v>1.6467040269670883</v>
      </c>
    </row>
    <row r="30" spans="2:5" ht="12.75">
      <c r="B30">
        <v>28</v>
      </c>
      <c r="C30" s="1">
        <f t="shared" si="0"/>
        <v>1.6026316549796818E-17</v>
      </c>
      <c r="D30" s="1">
        <f t="shared" si="1"/>
        <v>2.3471613214663064E-19</v>
      </c>
      <c r="E30" s="1">
        <f t="shared" si="2"/>
        <v>0.6555646809149173</v>
      </c>
    </row>
    <row r="31" spans="2:5" ht="12.75">
      <c r="B31">
        <v>29</v>
      </c>
      <c r="C31" s="1">
        <f t="shared" si="0"/>
        <v>6.380191536034296E-18</v>
      </c>
      <c r="D31" s="1">
        <f t="shared" si="1"/>
        <v>9.344217525215587E-20</v>
      </c>
      <c r="E31" s="1">
        <f t="shared" si="2"/>
        <v>0.2609850002338439</v>
      </c>
    </row>
    <row r="32" spans="2:5" ht="12.75">
      <c r="B32">
        <v>30</v>
      </c>
      <c r="C32" s="1">
        <f t="shared" si="0"/>
        <v>2.5399999999999846E-18</v>
      </c>
      <c r="D32" s="1">
        <f t="shared" si="1"/>
        <v>3.719999999999979E-20</v>
      </c>
      <c r="E32" s="1">
        <f t="shared" si="2"/>
        <v>0.1038999999999994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G1" sqref="G1"/>
    </sheetView>
  </sheetViews>
  <sheetFormatPr defaultColWidth="11.00390625" defaultRowHeight="12.75"/>
  <cols>
    <col min="1" max="1" width="3.7109375" style="0" customWidth="1"/>
  </cols>
  <sheetData>
    <row r="1" spans="2:6" ht="12.75">
      <c r="B1" s="29" t="s">
        <v>200</v>
      </c>
      <c r="C1" s="29" t="s">
        <v>201</v>
      </c>
      <c r="D1" s="29" t="s">
        <v>202</v>
      </c>
      <c r="E1" s="29" t="s">
        <v>203</v>
      </c>
      <c r="F1" t="s">
        <v>204</v>
      </c>
    </row>
    <row r="2" spans="2:6" ht="12.75">
      <c r="B2" s="29"/>
      <c r="C2" s="29"/>
      <c r="D2" s="29" t="s">
        <v>120</v>
      </c>
      <c r="E2" s="29" t="s">
        <v>120</v>
      </c>
      <c r="F2" t="s">
        <v>205</v>
      </c>
    </row>
    <row r="3" spans="1:6" ht="12.75">
      <c r="A3" t="s">
        <v>206</v>
      </c>
      <c r="B3" s="1"/>
      <c r="C3" s="1"/>
      <c r="D3" s="1">
        <v>3.556E-07</v>
      </c>
      <c r="E3" s="1">
        <v>3.4E-08</v>
      </c>
      <c r="F3" s="1">
        <v>0.0435</v>
      </c>
    </row>
    <row r="4" spans="1:6" ht="12.75">
      <c r="A4" t="s">
        <v>207</v>
      </c>
      <c r="B4" s="1"/>
      <c r="C4" s="1"/>
      <c r="D4" s="1">
        <v>4.353E-07</v>
      </c>
      <c r="E4" s="1">
        <v>7.81E-08</v>
      </c>
      <c r="F4" s="1">
        <v>0.072</v>
      </c>
    </row>
    <row r="5" spans="1:6" ht="12.75">
      <c r="A5" t="s">
        <v>208</v>
      </c>
      <c r="B5" s="1"/>
      <c r="C5" s="1"/>
      <c r="D5" s="1">
        <v>5.477E-07</v>
      </c>
      <c r="E5" s="1">
        <v>9.91E-08</v>
      </c>
      <c r="F5" s="1">
        <v>0.0392</v>
      </c>
    </row>
    <row r="6" spans="1:6" ht="12.75">
      <c r="A6" t="s">
        <v>209</v>
      </c>
      <c r="B6" s="1"/>
      <c r="C6" s="1"/>
      <c r="D6" s="1">
        <v>6.349E-07</v>
      </c>
      <c r="E6" s="1">
        <v>1.065E-07</v>
      </c>
      <c r="F6" s="1">
        <v>0.0176</v>
      </c>
    </row>
    <row r="7" spans="1:6" ht="12.75">
      <c r="A7" t="s">
        <v>210</v>
      </c>
      <c r="B7" s="1"/>
      <c r="C7" s="1"/>
      <c r="D7" s="1">
        <v>8.797E-07</v>
      </c>
      <c r="E7" s="1">
        <v>2.892E-07</v>
      </c>
      <c r="F7" s="1">
        <v>0.0083</v>
      </c>
    </row>
    <row r="8" spans="1:6" ht="12.75">
      <c r="A8" t="s">
        <v>185</v>
      </c>
      <c r="B8" s="1"/>
      <c r="C8" s="1"/>
      <c r="D8" s="1">
        <v>1.25E-06</v>
      </c>
      <c r="E8" s="1">
        <v>3E-07</v>
      </c>
      <c r="F8" s="1">
        <v>0.0034</v>
      </c>
    </row>
    <row r="9" spans="1:6" ht="12.75">
      <c r="A9" t="s">
        <v>211</v>
      </c>
      <c r="B9" s="1"/>
      <c r="C9" s="1"/>
      <c r="D9" s="1">
        <v>1.65E-06</v>
      </c>
      <c r="E9" s="1">
        <v>3.5E-07</v>
      </c>
      <c r="F9" s="1">
        <v>0.0007</v>
      </c>
    </row>
    <row r="10" spans="1:6" ht="12.75">
      <c r="A10" t="s">
        <v>212</v>
      </c>
      <c r="B10" s="1"/>
      <c r="C10" s="1"/>
      <c r="D10" s="1">
        <v>2.2E-06</v>
      </c>
      <c r="E10" s="1">
        <v>4E-07</v>
      </c>
      <c r="F10" s="1">
        <v>0.00039</v>
      </c>
    </row>
    <row r="11" spans="1:6" ht="12.75">
      <c r="A11" t="s">
        <v>213</v>
      </c>
      <c r="B11" s="1"/>
      <c r="C11" s="1"/>
      <c r="D11" s="1">
        <v>3.4E-06</v>
      </c>
      <c r="E11" s="1">
        <v>5.5E-07</v>
      </c>
      <c r="F11" s="1">
        <v>8.1E-05</v>
      </c>
    </row>
    <row r="12" spans="1:6" ht="12.75">
      <c r="A12" t="s">
        <v>214</v>
      </c>
      <c r="B12" s="1"/>
      <c r="C12" s="1"/>
      <c r="D12" s="1">
        <v>5E-06</v>
      </c>
      <c r="E12" s="1">
        <v>3E-07</v>
      </c>
      <c r="F12" s="1">
        <v>2.2E-05</v>
      </c>
    </row>
    <row r="13" spans="1:6" ht="12.75">
      <c r="A13" t="s">
        <v>215</v>
      </c>
      <c r="B13" s="1"/>
      <c r="C13" s="1"/>
      <c r="D13" s="1">
        <v>1.02E-05</v>
      </c>
      <c r="E13" s="1">
        <v>5E-06</v>
      </c>
      <c r="F13" s="1">
        <v>1.23E-06</v>
      </c>
    </row>
    <row r="14" spans="1:6" ht="12.75">
      <c r="A14" t="s">
        <v>216</v>
      </c>
      <c r="B14" s="1"/>
      <c r="C14" s="1"/>
      <c r="D14" s="1">
        <v>2.1E-05</v>
      </c>
      <c r="E14" s="1">
        <v>8E-06</v>
      </c>
      <c r="F14" s="1">
        <v>6.8E-08</v>
      </c>
    </row>
    <row r="16" spans="1:6" ht="12.75">
      <c r="A16" t="s">
        <v>217</v>
      </c>
      <c r="F16" t="s">
        <v>218</v>
      </c>
    </row>
    <row r="17" spans="1:6" ht="12.75">
      <c r="A17" t="s">
        <v>206</v>
      </c>
      <c r="B17" s="1"/>
      <c r="C17" s="1"/>
      <c r="D17" s="1">
        <v>3.6E-07</v>
      </c>
      <c r="F17" s="1">
        <v>0.0422</v>
      </c>
    </row>
    <row r="18" spans="1:6" ht="12.75">
      <c r="A18" t="s">
        <v>207</v>
      </c>
      <c r="B18" s="1"/>
      <c r="C18" s="1"/>
      <c r="D18" s="1">
        <v>4.4E-07</v>
      </c>
      <c r="F18" s="1">
        <v>0.064</v>
      </c>
    </row>
    <row r="19" spans="1:6" ht="12.75">
      <c r="A19" t="s">
        <v>208</v>
      </c>
      <c r="B19" s="1"/>
      <c r="C19" s="1"/>
      <c r="D19" s="1">
        <v>5.5E-07</v>
      </c>
      <c r="F19" s="1">
        <v>0.0375</v>
      </c>
    </row>
    <row r="20" spans="1:6" ht="12.75">
      <c r="A20" t="s">
        <v>209</v>
      </c>
      <c r="B20" s="1"/>
      <c r="C20" s="1"/>
      <c r="D20" s="1">
        <v>7.1E-07</v>
      </c>
      <c r="F20" s="1">
        <v>0.0175</v>
      </c>
    </row>
    <row r="21" spans="1:6" ht="12.75">
      <c r="A21" t="s">
        <v>210</v>
      </c>
      <c r="B21" s="1"/>
      <c r="C21" s="1"/>
      <c r="D21" s="1">
        <v>9.7E-08</v>
      </c>
      <c r="F21" s="1">
        <v>0.084</v>
      </c>
    </row>
    <row r="23" spans="1:9" ht="12.75">
      <c r="A23" t="s">
        <v>206</v>
      </c>
      <c r="B23" s="1"/>
      <c r="C23" s="1"/>
      <c r="D23" s="1">
        <v>3.65E-07</v>
      </c>
      <c r="E23" s="1">
        <v>6.6E-08</v>
      </c>
      <c r="G23" t="s">
        <v>219</v>
      </c>
      <c r="H23" t="s">
        <v>220</v>
      </c>
      <c r="I23" t="s">
        <v>221</v>
      </c>
    </row>
    <row r="24" spans="1:7" ht="12.75">
      <c r="A24" t="s">
        <v>207</v>
      </c>
      <c r="B24" s="1"/>
      <c r="C24" s="1"/>
      <c r="D24" s="1">
        <v>4.45E-07</v>
      </c>
      <c r="E24" s="1">
        <v>9.4E-08</v>
      </c>
      <c r="G24" t="s">
        <v>222</v>
      </c>
    </row>
    <row r="25" spans="1:8" ht="12.75">
      <c r="A25" t="s">
        <v>208</v>
      </c>
      <c r="B25" s="1"/>
      <c r="C25" s="1"/>
      <c r="D25" s="1">
        <v>5.51E-07</v>
      </c>
      <c r="E25" s="1">
        <v>8.8E-08</v>
      </c>
      <c r="G25" t="s">
        <v>223</v>
      </c>
      <c r="H25" t="s">
        <v>224</v>
      </c>
    </row>
    <row r="26" spans="1:8" ht="12.75">
      <c r="A26" t="s">
        <v>132</v>
      </c>
      <c r="G26" t="s">
        <v>225</v>
      </c>
      <c r="H26" t="s">
        <v>226</v>
      </c>
    </row>
    <row r="27" spans="1:12" ht="12.75">
      <c r="A27" t="s">
        <v>209</v>
      </c>
      <c r="B27" s="1"/>
      <c r="C27" s="1"/>
      <c r="D27" s="1">
        <v>6.58E-07</v>
      </c>
      <c r="E27" s="1">
        <v>1.38E-07</v>
      </c>
      <c r="G27" t="s">
        <v>227</v>
      </c>
      <c r="H27" t="s">
        <v>228</v>
      </c>
      <c r="I27" t="s">
        <v>229</v>
      </c>
      <c r="J27" t="s">
        <v>230</v>
      </c>
      <c r="K27" t="s">
        <v>231</v>
      </c>
      <c r="L27" t="s">
        <v>232</v>
      </c>
    </row>
    <row r="28" spans="1:11" ht="12.75">
      <c r="A28" t="s">
        <v>210</v>
      </c>
      <c r="B28" s="1"/>
      <c r="C28" s="1"/>
      <c r="D28" s="1">
        <v>8.06E-07</v>
      </c>
      <c r="E28" s="1">
        <v>1.49E-07</v>
      </c>
      <c r="G28" t="s">
        <v>233</v>
      </c>
      <c r="H28" t="s">
        <v>234</v>
      </c>
      <c r="I28" t="s">
        <v>235</v>
      </c>
      <c r="J28" t="s">
        <v>236</v>
      </c>
      <c r="K28" t="s">
        <v>237</v>
      </c>
    </row>
    <row r="29" spans="1:8" ht="12.75">
      <c r="A29" t="s">
        <v>238</v>
      </c>
      <c r="B29" s="1"/>
      <c r="C29" s="1"/>
      <c r="D29" s="1">
        <v>9E-07</v>
      </c>
      <c r="G29" t="s">
        <v>239</v>
      </c>
      <c r="H29" t="s">
        <v>240</v>
      </c>
    </row>
    <row r="30" spans="1:7" ht="12.75">
      <c r="A30" t="s">
        <v>241</v>
      </c>
      <c r="B30" s="1"/>
      <c r="C30" s="1"/>
      <c r="D30" s="1">
        <v>1.02E-06</v>
      </c>
      <c r="E30" s="1">
        <v>1.2E-07</v>
      </c>
      <c r="G30" t="s">
        <v>242</v>
      </c>
    </row>
    <row r="31" spans="1:8" ht="12.75">
      <c r="A31" t="s">
        <v>185</v>
      </c>
      <c r="B31" s="1"/>
      <c r="C31" s="1"/>
      <c r="D31" s="1">
        <v>1.22E-06</v>
      </c>
      <c r="E31" s="1">
        <v>2.13E-07</v>
      </c>
      <c r="G31" t="s">
        <v>243</v>
      </c>
      <c r="H31" t="s">
        <v>244</v>
      </c>
    </row>
    <row r="32" spans="1:5" ht="12.75">
      <c r="A32" t="s">
        <v>211</v>
      </c>
      <c r="B32" s="1"/>
      <c r="C32" s="1"/>
      <c r="D32" s="1">
        <v>1.63E-06</v>
      </c>
      <c r="E32" s="1">
        <v>3.07E-07</v>
      </c>
    </row>
    <row r="33" spans="1:12" ht="12.75">
      <c r="A33" t="s">
        <v>212</v>
      </c>
      <c r="B33" s="1"/>
      <c r="C33" s="1"/>
      <c r="D33" s="1">
        <v>2.19E-06</v>
      </c>
      <c r="E33" s="1">
        <v>3.9E-07</v>
      </c>
      <c r="G33" t="s">
        <v>245</v>
      </c>
      <c r="H33" t="s">
        <v>246</v>
      </c>
      <c r="I33" t="s">
        <v>247</v>
      </c>
      <c r="J33" t="s">
        <v>248</v>
      </c>
      <c r="K33" t="s">
        <v>249</v>
      </c>
      <c r="L33" t="s">
        <v>250</v>
      </c>
    </row>
    <row r="34" spans="1:8" ht="12.75">
      <c r="A34" t="s">
        <v>213</v>
      </c>
      <c r="B34" s="1"/>
      <c r="C34" s="1"/>
      <c r="D34" s="1">
        <v>3.45E-06</v>
      </c>
      <c r="E34" s="1">
        <v>4.72E-07</v>
      </c>
      <c r="G34" t="s">
        <v>251</v>
      </c>
      <c r="H34" t="s">
        <v>252</v>
      </c>
    </row>
    <row r="35" spans="1:8" ht="12.75">
      <c r="A35" t="s">
        <v>214</v>
      </c>
      <c r="B35" s="1"/>
      <c r="C35" s="1"/>
      <c r="D35" s="1">
        <v>4.75E-06</v>
      </c>
      <c r="E35" s="1">
        <v>4.6E-07</v>
      </c>
      <c r="G35" t="s">
        <v>253</v>
      </c>
      <c r="H35" t="s">
        <v>254</v>
      </c>
    </row>
    <row r="36" spans="1:5" ht="12.75">
      <c r="A36" t="s">
        <v>215</v>
      </c>
      <c r="B36" s="1"/>
      <c r="C36" s="1"/>
      <c r="D36" s="1">
        <v>1.05E-05</v>
      </c>
      <c r="E36" s="1">
        <v>2.5E-06</v>
      </c>
    </row>
    <row r="37" spans="1:7" ht="12.75">
      <c r="A37" t="s">
        <v>216</v>
      </c>
      <c r="B37" s="1"/>
      <c r="C37" s="1"/>
      <c r="D37" s="1">
        <v>2.1E-05</v>
      </c>
      <c r="E37" s="1">
        <v>5.8E-06</v>
      </c>
      <c r="G37" t="s">
        <v>255</v>
      </c>
    </row>
    <row r="39" spans="1:3" ht="12.75">
      <c r="A39" t="s">
        <v>219</v>
      </c>
      <c r="B39" s="1">
        <v>3.053E-07</v>
      </c>
      <c r="C39" s="1">
        <v>4.086E-07</v>
      </c>
    </row>
    <row r="40" spans="1:3" ht="12.75">
      <c r="A40" t="s">
        <v>225</v>
      </c>
      <c r="B40" s="1">
        <v>3.863E-07</v>
      </c>
      <c r="C40" s="1">
        <v>5.67E-07</v>
      </c>
    </row>
    <row r="41" spans="1:3" ht="12.75">
      <c r="A41" t="s">
        <v>227</v>
      </c>
      <c r="B41" s="1">
        <v>5.369E-07</v>
      </c>
      <c r="C41" s="1">
        <v>7.06E-07</v>
      </c>
    </row>
    <row r="42" spans="1:3" ht="12.75">
      <c r="A42" t="s">
        <v>233</v>
      </c>
      <c r="B42" s="1">
        <v>675.9</v>
      </c>
      <c r="C42" s="1">
        <v>8.33E-07</v>
      </c>
    </row>
    <row r="43" spans="1:3" ht="12.75">
      <c r="A43" t="s">
        <v>239</v>
      </c>
      <c r="B43" s="1">
        <v>8.029E-07</v>
      </c>
      <c r="C43" s="1">
        <v>9.386E-07</v>
      </c>
    </row>
    <row r="44" spans="1:3" ht="12.75">
      <c r="A44" t="s">
        <v>242</v>
      </c>
      <c r="B44" s="1">
        <v>9.08E-07</v>
      </c>
      <c r="C44" s="1">
        <v>1.1E-06</v>
      </c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1" ht="12.75">
      <c r="B61" s="1"/>
    </row>
    <row r="62" ht="12.75">
      <c r="B62" s="1"/>
    </row>
    <row r="63" ht="12.75">
      <c r="B63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"/>
    </sheetView>
  </sheetViews>
  <sheetFormatPr defaultColWidth="10.00390625" defaultRowHeight="12.75"/>
  <cols>
    <col min="1" max="1" width="21.8515625" style="0" customWidth="1"/>
    <col min="2" max="2" width="11.00390625" style="0" bestFit="1" customWidth="1"/>
  </cols>
  <sheetData>
    <row r="1" spans="1:2" ht="14.25">
      <c r="A1" s="42" t="s">
        <v>256</v>
      </c>
      <c r="B1" s="42"/>
    </row>
    <row r="2" spans="1:3" ht="14.25">
      <c r="A2" s="42" t="s">
        <v>257</v>
      </c>
      <c r="B2" s="42">
        <v>5780</v>
      </c>
      <c r="C2" t="s">
        <v>212</v>
      </c>
    </row>
    <row r="3" spans="1:2" ht="14.25">
      <c r="A3" s="42" t="s">
        <v>258</v>
      </c>
      <c r="B3" s="42">
        <v>26.5</v>
      </c>
    </row>
    <row r="4" spans="1:2" ht="14.25">
      <c r="A4" s="42" t="s">
        <v>259</v>
      </c>
      <c r="B4" s="42">
        <v>0</v>
      </c>
    </row>
    <row r="5" spans="1:2" ht="14.25">
      <c r="A5" s="43" t="s">
        <v>260</v>
      </c>
      <c r="B5" s="43">
        <f>2.512^(B3-B4)</f>
        <v>39858442952.39348</v>
      </c>
    </row>
    <row r="6" spans="1:2" ht="14.25">
      <c r="A6" s="42" t="s">
        <v>261</v>
      </c>
      <c r="B6" s="43">
        <f>SQRT(B5)</f>
        <v>199645.79372577195</v>
      </c>
    </row>
    <row r="7" spans="1:3" ht="14.25">
      <c r="A7" s="42" t="s">
        <v>262</v>
      </c>
      <c r="B7" s="43">
        <f>'1-Cste Phys'!B15*B6</f>
        <v>29866585635586904</v>
      </c>
      <c r="C7" s="43" t="s">
        <v>120</v>
      </c>
    </row>
    <row r="8" spans="1:3" ht="14.25">
      <c r="A8" s="42" t="s">
        <v>262</v>
      </c>
      <c r="B8" s="43">
        <f>B7/'1-Cste Phys'!B18</f>
        <v>3.1569005926282956</v>
      </c>
      <c r="C8" t="s">
        <v>127</v>
      </c>
    </row>
    <row r="9" spans="1:3" ht="12.75">
      <c r="A9" t="s">
        <v>263</v>
      </c>
      <c r="B9">
        <f>SQRT(250)*B8</f>
        <v>49.914981097203885</v>
      </c>
      <c r="C9" t="s">
        <v>127</v>
      </c>
    </row>
    <row r="10" ht="14.25">
      <c r="B10" s="43">
        <f>(SQRT(250))^3</f>
        <v>3952.847075210474</v>
      </c>
    </row>
    <row r="11" ht="12.75">
      <c r="B11">
        <f>50^3</f>
        <v>125000</v>
      </c>
    </row>
    <row r="12" ht="12.75">
      <c r="B12">
        <f>(1/3)^3</f>
        <v>0.037037037037037035</v>
      </c>
    </row>
    <row r="13" spans="1:2" ht="12.75">
      <c r="A13" t="s">
        <v>264</v>
      </c>
      <c r="B13" s="1">
        <f>1/B12/('1-Cste Phys'!B18)^3</f>
        <v>3.188524468792613E-47</v>
      </c>
    </row>
    <row r="14" spans="1:2" ht="12.75">
      <c r="A14" t="s">
        <v>265</v>
      </c>
      <c r="B14" s="1">
        <f>'1-Cste Phys'!B24</f>
        <v>695508000</v>
      </c>
    </row>
    <row r="15" spans="1:2" ht="12.75">
      <c r="A15" t="s">
        <v>266</v>
      </c>
      <c r="B15" s="1">
        <f>4/(B13*B14^2)</f>
        <v>2.5933789274251456E+29</v>
      </c>
    </row>
    <row r="16" ht="12.75">
      <c r="B16">
        <f>B15/'1-Cste Phys'!B18</f>
        <v>27412036892302.414</v>
      </c>
    </row>
    <row r="17" ht="12.75">
      <c r="B17" s="1">
        <f>7000^3/3^3</f>
        <v>12703703703.703703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1046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Midavaine</dc:creator>
  <cp:keywords/>
  <dc:description/>
  <cp:lastModifiedBy>Neveu Stephane</cp:lastModifiedBy>
  <dcterms:created xsi:type="dcterms:W3CDTF">2022-06-25T21:06:20Z</dcterms:created>
  <dcterms:modified xsi:type="dcterms:W3CDTF">2022-06-27T11:06:59Z</dcterms:modified>
  <cp:category/>
  <cp:version/>
  <cp:contentType/>
  <cp:contentStatus/>
</cp:coreProperties>
</file>